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4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5.xml" ContentType="application/vnd.openxmlformats-officedocument.drawing+xml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drawings/drawing6.xml" ContentType="application/vnd.openxmlformats-officedocument.drawing+xml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codeName="ThisWorkbook" defaultThemeVersion="124226"/>
  <bookViews>
    <workbookView xWindow="5055" yWindow="165" windowWidth="12765" windowHeight="11505" firstSheet="3" activeTab="6"/>
  </bookViews>
  <sheets>
    <sheet name="Assumptions" sheetId="1" r:id="rId1"/>
    <sheet name="Land Values" sheetId="18" r:id="rId2"/>
    <sheet name="Resi Results" sheetId="2" r:id="rId3"/>
    <sheet name="Mixed Residential" sheetId="3" r:id="rId4"/>
    <sheet name="Medium Scale" sheetId="4" r:id="rId5"/>
    <sheet name="Large Scale" sheetId="5" r:id="rId6"/>
    <sheet name="Small Strategic" sheetId="6" r:id="rId7"/>
  </sheets>
  <calcPr fullPrecision="1" calcId="152511"/>
</workbook>
</file>

<file path=xl/sharedStrings.xml><?xml version="1.0" encoding="utf-8"?>
<sst xmlns="http://schemas.openxmlformats.org/spreadsheetml/2006/main" uniqueCount="175" count="4384">
  <si>
    <t>DEVELOPMENT SCENARIO</t>
  </si>
  <si>
    <t>BASE LAND VALUE SCENARIO</t>
  </si>
  <si>
    <t>DEVELOPMENT LOCATION (ZONE)</t>
  </si>
  <si>
    <t>DEVELOPMENT DETAILS</t>
  </si>
  <si>
    <t>Development Value</t>
  </si>
  <si>
    <t xml:space="preserve">sqm </t>
  </si>
  <si>
    <t>£ per sqm</t>
  </si>
  <si>
    <t>sqm</t>
  </si>
  <si>
    <t>Development Costs</t>
  </si>
  <si>
    <t>Land</t>
  </si>
  <si>
    <t>Construction</t>
  </si>
  <si>
    <t>Gross/Net</t>
  </si>
  <si>
    <t>Abnormal Costs</t>
  </si>
  <si>
    <t>Professional Fees @</t>
  </si>
  <si>
    <t>Build Cost</t>
  </si>
  <si>
    <t>Legal Fees</t>
  </si>
  <si>
    <t>GDV</t>
  </si>
  <si>
    <t>Statutory Fees</t>
  </si>
  <si>
    <t>Sales/Marketing Costs</t>
  </si>
  <si>
    <t>Contingencies</t>
  </si>
  <si>
    <t>Planning Obligations</t>
  </si>
  <si>
    <t>Interest @</t>
  </si>
  <si>
    <t>Month Build</t>
  </si>
  <si>
    <t>Arrangement Fee</t>
  </si>
  <si>
    <t>Cost</t>
  </si>
  <si>
    <t>Development Profit</t>
  </si>
  <si>
    <t>of GDV</t>
  </si>
  <si>
    <t>Total Cost</t>
  </si>
  <si>
    <t>POTENTIAL MARGIN FOR CIL</t>
  </si>
  <si>
    <t>Viability Model Appraisal Assumptions</t>
  </si>
  <si>
    <t>Zone 2</t>
  </si>
  <si>
    <t>Affordable Housing</t>
  </si>
  <si>
    <t>Charging Zone</t>
  </si>
  <si>
    <t>Intermediate</t>
  </si>
  <si>
    <t>Social Rent</t>
  </si>
  <si>
    <t>Affordable Rent</t>
  </si>
  <si>
    <t>Apartments</t>
  </si>
  <si>
    <t>2 bed houses</t>
  </si>
  <si>
    <t>3 Bed houses</t>
  </si>
  <si>
    <t>4 bed houses</t>
  </si>
  <si>
    <t>5 bed house</t>
  </si>
  <si>
    <t>Apartment</t>
  </si>
  <si>
    <t>3 Bed</t>
  </si>
  <si>
    <t>4 Bed</t>
  </si>
  <si>
    <t>5 Bed</t>
  </si>
  <si>
    <t>Sales Value £sqm</t>
  </si>
  <si>
    <t>2 Bed</t>
  </si>
  <si>
    <t>Gross : Net</t>
  </si>
  <si>
    <t>£ per sqm of Construction Cost</t>
  </si>
  <si>
    <t>Construction Cost</t>
  </si>
  <si>
    <t>Market Units Value</t>
  </si>
  <si>
    <t>£ per Market Unit</t>
  </si>
  <si>
    <t>Month Construction</t>
  </si>
  <si>
    <t>Proportion %</t>
  </si>
  <si>
    <t>Tenure Mix %</t>
  </si>
  <si>
    <t>Commercial</t>
  </si>
  <si>
    <t xml:space="preserve">Housing Type &amp; Size    </t>
  </si>
  <si>
    <t>Construction Cost Sqm</t>
  </si>
  <si>
    <t>Sales Values</t>
  </si>
  <si>
    <t>Residential Development Cost Assumptions</t>
  </si>
  <si>
    <t>Zone 1</t>
  </si>
  <si>
    <t>Zone 3</t>
  </si>
  <si>
    <t>Zone 4</t>
  </si>
  <si>
    <t>Industrial Land Value Sqm</t>
  </si>
  <si>
    <t>Office Land Value Sqm</t>
  </si>
  <si>
    <t>Food Retail Land Value Sqm</t>
  </si>
  <si>
    <t>General Retail  Land Value Sqm</t>
  </si>
  <si>
    <t>Residential Institutuion Land Value Sqm</t>
  </si>
  <si>
    <t>Hotel Land Value Sqm</t>
  </si>
  <si>
    <t>5 Bed House Plot Value</t>
  </si>
  <si>
    <t>4 Bed House Plot Land</t>
  </si>
  <si>
    <t xml:space="preserve">3 Bed House Plot Value </t>
  </si>
  <si>
    <t>2 Bed House Plot Value</t>
  </si>
  <si>
    <t>Apartment Plot Value</t>
  </si>
  <si>
    <t>Community Uses Land Value Sqm</t>
  </si>
  <si>
    <t>Leisure Land Value Sqm</t>
  </si>
  <si>
    <t>Agricultural Uses Land Value Sqm</t>
  </si>
  <si>
    <t>Greenfield/Agricultural</t>
  </si>
  <si>
    <t>Sui Generis -</t>
  </si>
  <si>
    <t>Residential Viability Appraisal</t>
  </si>
  <si>
    <t>Units</t>
  </si>
  <si>
    <t>Affordable Proportion</t>
  </si>
  <si>
    <t>Market Units</t>
  </si>
  <si>
    <t>Affordable Units</t>
  </si>
  <si>
    <t>Affordable Mix</t>
  </si>
  <si>
    <t>Development Floorspace</t>
  </si>
  <si>
    <t>Sqm Market Housing</t>
  </si>
  <si>
    <t>Sqm Affordable Housing</t>
  </si>
  <si>
    <t>Market Houses</t>
  </si>
  <si>
    <t>Open Market Value</t>
  </si>
  <si>
    <t>2 Bed house</t>
  </si>
  <si>
    <t>3 Bed House</t>
  </si>
  <si>
    <t>Social Rent Houses</t>
  </si>
  <si>
    <t xml:space="preserve">sqm  </t>
  </si>
  <si>
    <t>Affordable Rent Houses</t>
  </si>
  <si>
    <t>Total Units</t>
  </si>
  <si>
    <t>Plots</t>
  </si>
  <si>
    <t>£ per plot</t>
  </si>
  <si>
    <t>2 Bed House</t>
  </si>
  <si>
    <t>4 Bed House</t>
  </si>
  <si>
    <t>5 Bed House</t>
  </si>
  <si>
    <t>Stamp Duty Land Tax</t>
  </si>
  <si>
    <t>2B Houses</t>
  </si>
  <si>
    <t>3B Houses</t>
  </si>
  <si>
    <t>4B Houses</t>
  </si>
  <si>
    <t>5B Houses</t>
  </si>
  <si>
    <t>Total sqm</t>
  </si>
  <si>
    <t>POTENTIAL CIL RATE PER SQ METRE OF MARKET HOUSING</t>
  </si>
  <si>
    <t>Afford Rent</t>
  </si>
  <si>
    <t>Afford Units</t>
  </si>
  <si>
    <t>Mth Sale Void</t>
  </si>
  <si>
    <t>Residential Development Scenarios</t>
  </si>
  <si>
    <t>Title</t>
  </si>
  <si>
    <t>Unit Numbers</t>
  </si>
  <si>
    <t>Mixed Residential Scenario</t>
  </si>
  <si>
    <t>Residential Scenario 2</t>
  </si>
  <si>
    <t>Residential Scenario 3</t>
  </si>
  <si>
    <t>Residential Scenario 4</t>
  </si>
  <si>
    <t>Residential Scenario 5</t>
  </si>
  <si>
    <t xml:space="preserve">Professional Fees </t>
  </si>
  <si>
    <t>Interest</t>
  </si>
  <si>
    <t xml:space="preserve">Interest </t>
  </si>
  <si>
    <t>Mixed Residential Development</t>
  </si>
  <si>
    <t>Maximum Residential CIL Rates per sqm</t>
  </si>
  <si>
    <t>Mth Sales Void</t>
  </si>
  <si>
    <t>Residential Assumptions</t>
  </si>
  <si>
    <t>Total Land</t>
  </si>
  <si>
    <t>Residential Base Land Value Assumptions</t>
  </si>
  <si>
    <t>Apt</t>
  </si>
  <si>
    <t>2Bed</t>
  </si>
  <si>
    <t>3Bed</t>
  </si>
  <si>
    <t>5Bed</t>
  </si>
  <si>
    <t>Uplift Proportion</t>
  </si>
  <si>
    <t>Commercial Base Value Assumptions</t>
  </si>
  <si>
    <t>Density per Ha</t>
  </si>
  <si>
    <t>Vehicle Repairs</t>
  </si>
  <si>
    <t>Car  Sales</t>
  </si>
  <si>
    <t>Additional Affordable Housing Land Cost</t>
  </si>
  <si>
    <t>per plot</t>
  </si>
  <si>
    <t xml:space="preserve">Greenfield </t>
  </si>
  <si>
    <t>Brownfield</t>
  </si>
  <si>
    <t>Residual</t>
  </si>
  <si>
    <t>Greenfield</t>
  </si>
  <si>
    <t>Residential Land Values per Ha</t>
  </si>
  <si>
    <t>Comparable Land Value per Ha</t>
  </si>
  <si>
    <t>Residual Land Value per Ha</t>
  </si>
  <si>
    <t>Market Comparable</t>
  </si>
  <si>
    <t>All Zones</t>
  </si>
  <si>
    <t>Commercial Land Values</t>
  </si>
  <si>
    <t>Industrial Land Values per Ha</t>
  </si>
  <si>
    <t>Office Land Values per Ha</t>
  </si>
  <si>
    <t>Agricultural Land Values per Ha</t>
  </si>
  <si>
    <t>LAND VALUE ASSUMPTIONS</t>
  </si>
  <si>
    <t xml:space="preserve">Affordable Housing Land Values </t>
  </si>
  <si>
    <t xml:space="preserve"> Proportion of 2 Bed Plot Value</t>
  </si>
  <si>
    <t>Market Hsg</t>
  </si>
  <si>
    <t>Aff Hsg</t>
  </si>
  <si>
    <t>Market Housing</t>
  </si>
  <si>
    <t>Neutral Tenure</t>
  </si>
  <si>
    <t>Affordable Sizes</t>
  </si>
  <si>
    <t>Affordable  sqm</t>
  </si>
  <si>
    <t>Provision Proportion</t>
  </si>
  <si>
    <t>&amp; Base Land Value</t>
  </si>
  <si>
    <t>Malpas &amp; Bettws</t>
  </si>
  <si>
    <t xml:space="preserve">Newport East </t>
  </si>
  <si>
    <t xml:space="preserve">Rog/Newport West </t>
  </si>
  <si>
    <t>Affordable Housing Zone</t>
  </si>
  <si>
    <t>Caerleon/Rural</t>
  </si>
  <si>
    <t>Medium Scale Mixed Development</t>
  </si>
  <si>
    <t>Large Scale Mixed Development</t>
  </si>
  <si>
    <t>Small Scale Strategic Site</t>
  </si>
  <si>
    <t>200 Units</t>
  </si>
  <si>
    <t>300 Units</t>
  </si>
  <si>
    <t>500 Units</t>
  </si>
  <si>
    <t>1000 units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</si>
</sst>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44" formatCode="_-&quot;£&quot;* #,##0.00_-;\-&quot;£&quot;* #,##0.00_-;_-&quot;£&quot;* &quot;-&quot;??_-;_-@_-"/>
    <numFmt numFmtId="164" formatCode="#,##0_ ;\-#,##0\ "/>
    <numFmt numFmtId="165" formatCode="&quot;£&quot;#,##0"/>
    <numFmt numFmtId="166" formatCode="0.0%"/>
    <numFmt numFmtId="167" formatCode="0.0"/>
  </numFmts>
  <fonts count="34">
    <font>
      <sz val="11"/>
      <color theme="1"/>
      <name val="Calibri"/>
      <family val="2"/>
      <charset val="0"/>
      <scheme val="minor"/>
    </font>
    <font>
      <sz val="8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b/>
      <sz val="16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10"/>
      <name val="Calibri"/>
      <family val="2"/>
      <charset val="0"/>
      <scheme val="minor"/>
    </font>
    <font>
      <b/>
      <sz val="10"/>
      <name val="Calibri"/>
      <family val="2"/>
      <charset val="0"/>
      <scheme val="minor"/>
    </font>
    <font>
      <sz val="8"/>
      <name val="Calibri"/>
      <family val="2"/>
      <charset val="0"/>
      <scheme val="minor"/>
    </font>
    <font>
      <b/>
      <sz val="20"/>
      <color theme="9" tint="-0.249977111117893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  <font>
      <sz val="10"/>
      <color theme="9" tint="-0.249977111117893"/>
      <name val="Calibri"/>
      <family val="2"/>
      <charset val="0"/>
      <scheme val="minor"/>
    </font>
    <font>
      <b/>
      <sz val="17"/>
      <color theme="9" tint="-0.249977111117893"/>
      <name val="Calibri"/>
      <family val="2"/>
      <charset val="0"/>
      <scheme val="minor"/>
    </font>
    <font>
      <sz val="11"/>
      <color theme="9" tint="-0.249977111117893"/>
      <name val="Calibri"/>
      <family val="2"/>
      <charset val="0"/>
      <scheme val="minor"/>
    </font>
    <font>
      <b/>
      <sz val="16"/>
      <color theme="9" tint="-0.249977111117893"/>
      <name val="Calibri"/>
      <family val="2"/>
      <charset val="0"/>
      <scheme val="minor"/>
    </font>
    <font>
      <b/>
      <sz val="11"/>
      <color theme="9" tint="-0.249977111117893"/>
      <name val="Calibri"/>
      <family val="2"/>
      <charset val="0"/>
      <scheme val="minor"/>
    </font>
    <font>
      <b/>
      <sz val="10"/>
      <color theme="9" tint="-0.249977111117893"/>
      <name val="Calibri"/>
      <family val="2"/>
      <charset val="0"/>
      <scheme val="minor"/>
    </font>
    <font>
      <sz val="9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b/>
      <sz val="24"/>
      <color theme="9" tint="-0.249977111117893"/>
      <name val="Calibri"/>
      <family val="2"/>
      <charset val="0"/>
      <scheme val="minor"/>
    </font>
    <font>
      <b/>
      <sz val="10"/>
      <color theme="0"/>
      <name val="Calibri"/>
      <family val="2"/>
      <charset val="0"/>
      <scheme val="minor"/>
    </font>
    <font>
      <b/>
      <sz val="22"/>
      <color theme="9" tint="-0.249977111117893"/>
      <name val="Calibri"/>
      <family val="2"/>
      <charset val="0"/>
      <scheme val="minor"/>
    </font>
    <font>
      <b/>
      <sz val="8"/>
      <color theme="9" tint="-0.249977111117893"/>
      <name val="Calibri"/>
      <family val="2"/>
      <charset val="0"/>
      <scheme val="minor"/>
    </font>
    <font>
      <b/>
      <sz val="8"/>
      <name val="Arial"/>
      <family val="2"/>
      <charset val="0"/>
    </font>
    <font>
      <b/>
      <sz val="10"/>
      <color theme="1"/>
      <name val="Calibri"/>
      <family val="2"/>
      <charset val="0"/>
      <scheme val="minor"/>
    </font>
    <font>
      <b/>
      <sz val="18"/>
      <color theme="9" tint="-0.249977111117893"/>
      <name val="Calibri"/>
      <family val="2"/>
      <charset val="0"/>
      <scheme val="minor"/>
    </font>
    <font>
      <b/>
      <sz val="14"/>
      <color theme="9" tint="-0.249977111117893"/>
      <name val="Calibri"/>
      <family val="2"/>
      <charset val="0"/>
      <scheme val="minor"/>
    </font>
    <font>
      <b/>
      <sz val="20"/>
      <color theme="1"/>
      <name val="Calibri"/>
      <family val="2"/>
      <charset val="0"/>
      <scheme val="minor"/>
    </font>
    <font>
      <sz val="8"/>
      <name val="Arial"/>
      <family val="2"/>
      <charset val="0"/>
    </font>
    <font>
      <sz val="9"/>
      <color theme="1"/>
      <name val="Calibri"/>
      <family val="2"/>
      <charset val="0"/>
      <scheme val="minor"/>
    </font>
    <font>
      <b/>
      <sz val="9"/>
      <name val="Calibri"/>
      <family val="2"/>
      <charset val="0"/>
      <scheme val="minor"/>
    </font>
    <font>
      <sz val="10"/>
      <color indexed="8"/>
      <name val="Calibri"/>
      <family val="2"/>
      <charset val="0"/>
    </font>
    <font>
      <sz val="11"/>
      <name val="Calibri"/>
      <family val="2"/>
      <charset val="0"/>
      <scheme val="minor"/>
    </font>
  </fonts>
  <fills count="1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8">
    <xf numFmtId="0" fontId="0" fillId="0" borderId="0"/>
    <xf numFmtId="0" fontId="2" fillId="0" borderId="0"/>
    <xf numFmtId="44" fontId="2" fillId="0" borderId="0" applyAlignment="0" applyBorder="0" applyFont="0" applyFill="0" applyProtection="0"/>
  </cellStyleXfs>
  <cellXfs>
    <xf numFmtId="0" fontId="0" fillId="0" borderId="0" xfId="0"/>
    <xf numFmtId="0" fontId="9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2" borderId="0" xfId="0" applyFill="1"/>
    <xf numFmtId="0" fontId="0" fillId="3" borderId="0" xfId="0" applyFill="1"/>
    <xf numFmtId="0" fontId="7" fillId="2" borderId="0" xfId="1" applyBorder="1" applyFont="1" applyFill="1"/>
    <xf numFmtId="0" fontId="5" fillId="2" borderId="0" xfId="1" applyAlignment="1" applyBorder="1" applyFont="1" applyFill="1">
      <alignment horizontal="center"/>
    </xf>
    <xf numFmtId="0" fontId="9" fillId="2" borderId="0" xfId="0" applyBorder="1" applyFont="1" applyFill="1"/>
    <xf numFmtId="0" fontId="9" fillId="0" borderId="0" xfId="0" applyAlignment="1" applyBorder="1" applyFont="1" applyFill="1">
      <alignment horizontal="center"/>
    </xf>
    <xf numFmtId="0" fontId="5" fillId="2" borderId="0" xfId="1" applyBorder="1" applyFont="1" applyFill="1"/>
    <xf numFmtId="0" fontId="0" fillId="2" borderId="0" xfId="0" applyBorder="1" applyFill="1"/>
    <xf numFmtId="0" fontId="0" fillId="0" borderId="0" xfId="0" applyBorder="1" applyFill="1"/>
    <xf numFmtId="0" fontId="0" fillId="0" borderId="0" xfId="0" applyFill="1"/>
    <xf numFmtId="0" fontId="3" fillId="3" borderId="0" xfId="0" applyFont="1" applyFill="1"/>
    <xf numFmtId="0" fontId="20" fillId="3" borderId="0" xfId="0" applyAlignment="1" applyFont="1" applyFill="1">
      <alignment vertical="center"/>
    </xf>
    <xf numFmtId="0" fontId="6" fillId="2" borderId="0" xfId="0" applyFont="1" applyFill="1"/>
    <xf numFmtId="0" fontId="5" fillId="2" borderId="0" xfId="0" applyFont="1" applyFill="1"/>
    <xf numFmtId="0" fontId="5" fillId="0" borderId="1" xfId="0" applyBorder="1" applyFont="1"/>
    <xf numFmtId="44" fontId="5" fillId="2" borderId="0" xfId="2" applyFont="1" applyNumberFormat="1" applyFill="1"/>
    <xf numFmtId="9" fontId="5" fillId="0" borderId="1" xfId="0" applyBorder="1" applyFont="1" applyNumberFormat="1"/>
    <xf numFmtId="44" fontId="5" fillId="2" borderId="0" xfId="2" applyBorder="1" applyFont="1" applyNumberFormat="1" applyFill="1"/>
    <xf numFmtId="9" fontId="5" fillId="0" borderId="1" xfId="0" applyBorder="1" applyFont="1" applyNumberFormat="1" applyFill="1"/>
    <xf numFmtId="1" fontId="5" fillId="2" borderId="0" xfId="0" applyFont="1" applyNumberFormat="1" applyFill="1"/>
    <xf numFmtId="164" fontId="5" fillId="2" borderId="0" xfId="2" applyFont="1" applyNumberFormat="1" applyFill="1"/>
    <xf numFmtId="0" fontId="6" fillId="4" borderId="0" xfId="0" applyFont="1" applyFill="1"/>
    <xf numFmtId="0" fontId="5" fillId="4" borderId="0" xfId="0" applyFont="1" applyFill="1"/>
    <xf numFmtId="44" fontId="5" fillId="4" borderId="0" xfId="2" applyFont="1" applyNumberFormat="1" applyFill="1"/>
    <xf numFmtId="0" fontId="5" fillId="0" borderId="0" xfId="0" applyFont="1"/>
    <xf numFmtId="1" fontId="5" fillId="2" borderId="0" xfId="0" applyAlignment="1" applyFont="1" applyNumberFormat="1" applyFill="1">
      <alignment horizontal="center"/>
    </xf>
    <xf numFmtId="0" fontId="7" fillId="2" borderId="0" xfId="0" applyFont="1" applyFill="1"/>
    <xf numFmtId="0" fontId="5" fillId="0" borderId="1" xfId="0" applyAlignment="1" applyBorder="1" applyFont="1">
      <alignment horizontal="right"/>
    </xf>
    <xf numFmtId="0" fontId="7" fillId="0" borderId="0" xfId="0" applyFont="1"/>
    <xf numFmtId="165" fontId="5" fillId="2" borderId="0" xfId="2" applyFont="1" applyNumberFormat="1" applyFill="1"/>
    <xf numFmtId="0" fontId="7" fillId="4" borderId="0" xfId="0" applyFont="1" applyFill="1"/>
    <xf numFmtId="165" fontId="5" fillId="4" borderId="0" xfId="0" applyFont="1" applyNumberFormat="1" applyFill="1"/>
    <xf numFmtId="165" fontId="5" fillId="2" borderId="0" xfId="0" applyFont="1" applyNumberFormat="1" applyFill="1"/>
    <xf numFmtId="0" fontId="5" fillId="0" borderId="0" xfId="0" applyAlignment="1" applyFont="1">
      <alignment horizontal="right"/>
    </xf>
    <xf numFmtId="1" fontId="5" fillId="4" borderId="0" xfId="0" applyAlignment="1" applyFont="1" applyNumberFormat="1" applyFill="1">
      <alignment horizontal="center"/>
    </xf>
    <xf numFmtId="0" fontId="5" fillId="4" borderId="0" xfId="0" applyAlignment="1" applyFont="1" applyFill="1">
      <alignment horizontal="right"/>
    </xf>
    <xf numFmtId="165" fontId="5" fillId="4" borderId="0" xfId="2" applyFont="1" applyNumberFormat="1" applyFill="1"/>
    <xf numFmtId="1" fontId="7" fillId="4" borderId="0" xfId="0" applyAlignment="1" applyFont="1" applyNumberFormat="1" applyFill="1">
      <alignment horizontal="center"/>
    </xf>
    <xf numFmtId="165" fontId="6" fillId="4" borderId="0" xfId="2" applyFont="1" applyNumberFormat="1" applyFill="1"/>
    <xf numFmtId="1" fontId="5" fillId="0" borderId="0" xfId="0" applyAlignment="1" applyFont="1" applyNumberFormat="1">
      <alignment horizontal="right"/>
    </xf>
    <xf numFmtId="0" fontId="7" fillId="0" borderId="0" xfId="0" applyAlignment="1" applyFont="1">
      <alignment horizontal="center"/>
    </xf>
    <xf numFmtId="166" fontId="5" fillId="0" borderId="1" xfId="0" applyBorder="1" applyFont="1" applyNumberFormat="1"/>
    <xf numFmtId="0" fontId="5" fillId="0" borderId="1" xfId="0" applyAlignment="1" applyBorder="1" applyFont="1">
      <alignment horizontal="center"/>
    </xf>
    <xf numFmtId="1" fontId="5" fillId="4" borderId="0" xfId="0" applyFont="1" applyNumberFormat="1" applyFill="1"/>
    <xf numFmtId="0" fontId="7" fillId="0" borderId="0" xfId="0" applyBorder="1" applyFont="1" applyFill="1"/>
    <xf numFmtId="0" fontId="5" fillId="0" borderId="0" xfId="0" applyFont="1" applyFill="1"/>
    <xf numFmtId="9" fontId="5" fillId="0" borderId="0" xfId="0" applyFont="1" applyNumberFormat="1" applyFill="1"/>
    <xf numFmtId="165" fontId="5" fillId="0" borderId="0" xfId="2" applyFont="1" applyNumberFormat="1"/>
    <xf numFmtId="0" fontId="21" fillId="5" borderId="0" xfId="0" applyFont="1" applyFill="1"/>
    <xf numFmtId="0" fontId="6" fillId="5" borderId="0" xfId="0" applyFont="1" applyFill="1"/>
    <xf numFmtId="165" fontId="21" fillId="5" borderId="0" xfId="2" applyFont="1" applyNumberFormat="1" applyFill="1"/>
    <xf numFmtId="44" fontId="7" fillId="2" borderId="0" xfId="2" applyFont="1" applyNumberFormat="1" applyFill="1"/>
    <xf numFmtId="0" fontId="23" fillId="3" borderId="0" xfId="0" applyAlignment="1" applyFont="1" applyFill="1">
      <alignment vertical="center"/>
    </xf>
    <xf numFmtId="0" fontId="24" fillId="3" borderId="0" xfId="0" applyFont="1" applyFill="1"/>
    <xf numFmtId="0" fontId="1" fillId="3" borderId="0" xfId="0" applyFont="1" applyFill="1"/>
    <xf numFmtId="9" fontId="7" fillId="0" borderId="1" xfId="0" applyBorder="1" applyFont="1" applyNumberFormat="1"/>
    <xf numFmtId="0" fontId="7" fillId="2" borderId="0" xfId="0" applyBorder="1" applyFont="1" applyFill="1"/>
    <xf numFmtId="44" fontId="7" fillId="2" borderId="0" xfId="2" applyBorder="1" applyFont="1" applyNumberFormat="1" applyFill="1"/>
    <xf numFmtId="1" fontId="5" fillId="0" borderId="1" xfId="2" applyAlignment="1" applyBorder="1" applyFont="1" applyNumberFormat="1" applyFill="1">
      <alignment horizontal="center"/>
    </xf>
    <xf numFmtId="1" fontId="5" fillId="2" borderId="0" xfId="0" applyBorder="1" applyFont="1" applyNumberFormat="1" applyFill="1"/>
    <xf numFmtId="9" fontId="5" fillId="0" borderId="2" xfId="0" applyBorder="1" applyFont="1" applyNumberFormat="1"/>
    <xf numFmtId="9" fontId="5" fillId="0" borderId="1" xfId="2" applyBorder="1" applyFont="1" applyNumberFormat="1" applyFill="1"/>
    <xf numFmtId="49" fontId="7" fillId="0" borderId="3" xfId="0" applyBorder="1" applyFont="1" applyNumberFormat="1"/>
    <xf numFmtId="49" fontId="7" fillId="0" borderId="3" xfId="2" applyBorder="1" applyFont="1" applyNumberFormat="1"/>
    <xf numFmtId="49" fontId="7" fillId="0" borderId="4" xfId="2" applyBorder="1" applyFont="1" applyNumberFormat="1"/>
    <xf numFmtId="49" fontId="7" fillId="0" borderId="4" xfId="0" applyBorder="1" applyFont="1" applyNumberFormat="1"/>
    <xf numFmtId="1" fontId="7" fillId="0" borderId="1" xfId="0" applyBorder="1" applyFont="1" applyNumberFormat="1"/>
    <xf numFmtId="1" fontId="5" fillId="0" borderId="1" xfId="0" applyBorder="1" applyFont="1" applyNumberFormat="1"/>
    <xf numFmtId="1" fontId="5" fillId="0" borderId="1" xfId="0" applyAlignment="1" applyBorder="1" applyFont="1" applyNumberFormat="1">
      <alignment horizontal="right"/>
    </xf>
    <xf numFmtId="166" fontId="9" fillId="0" borderId="1" xfId="0" applyBorder="1" applyFont="1" applyNumberFormat="1"/>
    <xf numFmtId="1" fontId="9" fillId="0" borderId="1" xfId="0" applyBorder="1" applyFont="1" applyNumberFormat="1"/>
    <xf numFmtId="0" fontId="5" fillId="0" borderId="3" xfId="0" applyBorder="1" applyFont="1" applyNumberFormat="1"/>
    <xf numFmtId="0" fontId="5" fillId="0" borderId="4" xfId="2" applyBorder="1" applyFont="1" applyNumberFormat="1"/>
    <xf numFmtId="0" fontId="5" fillId="0" borderId="4" xfId="0" applyBorder="1" applyFont="1" applyNumberFormat="1"/>
    <xf numFmtId="0" fontId="5" fillId="6" borderId="3" xfId="0" applyBorder="1" applyFont="1" applyNumberFormat="1" applyFill="1"/>
    <xf numFmtId="0" fontId="5" fillId="6" borderId="4" xfId="2" applyBorder="1" applyFont="1" applyNumberFormat="1" applyFill="1"/>
    <xf numFmtId="0" fontId="5" fillId="0" borderId="5" xfId="0" applyAlignment="1" applyBorder="1" applyFont="1" applyNumberFormat="1" applyFill="1">
      <alignment horizontal="left"/>
    </xf>
    <xf numFmtId="0" fontId="5" fillId="6" borderId="5" xfId="0" applyAlignment="1" applyBorder="1" applyFont="1" applyNumberFormat="1" applyFill="1">
      <alignment horizontal="left"/>
    </xf>
    <xf numFmtId="0" fontId="18" fillId="0" borderId="0" xfId="0" applyFont="1"/>
    <xf numFmtId="0" fontId="9" fillId="0" borderId="4" xfId="0" applyBorder="1" applyFont="1" applyFill="1"/>
    <xf numFmtId="165" fontId="0" fillId="7" borderId="1" xfId="0" applyAlignment="1" applyBorder="1" applyNumberFormat="1" applyFill="1">
      <alignment horizontal="center"/>
    </xf>
    <xf numFmtId="165" fontId="0" fillId="6" borderId="1" xfId="0" applyAlignment="1" applyBorder="1" applyNumberFormat="1" applyFill="1">
      <alignment horizontal="center"/>
    </xf>
    <xf numFmtId="165" fontId="0" fillId="8" borderId="1" xfId="0" applyAlignment="1" applyBorder="1" applyNumberFormat="1" applyFill="1">
      <alignment horizontal="center"/>
    </xf>
    <xf numFmtId="0" fontId="7" fillId="0" borderId="5" xfId="0" applyBorder="1" applyFont="1" applyNumberFormat="1"/>
    <xf numFmtId="166" fontId="0" fillId="0" borderId="1" xfId="0" applyBorder="1" applyNumberFormat="1"/>
    <xf numFmtId="1" fontId="0" fillId="0" borderId="1" xfId="0" applyBorder="1" applyNumberFormat="1"/>
    <xf numFmtId="0" fontId="7" fillId="6" borderId="5" xfId="0" applyBorder="1" applyFont="1" applyNumberFormat="1" applyFill="1"/>
    <xf numFmtId="49" fontId="7" fillId="6" borderId="3" xfId="0" applyBorder="1" applyFont="1" applyNumberFormat="1" applyFill="1"/>
    <xf numFmtId="49" fontId="7" fillId="6" borderId="3" xfId="2" applyBorder="1" applyFont="1" applyNumberFormat="1" applyFill="1"/>
    <xf numFmtId="49" fontId="7" fillId="6" borderId="4" xfId="2" applyBorder="1" applyFont="1" applyNumberFormat="1" applyFill="1"/>
    <xf numFmtId="0" fontId="9" fillId="0" borderId="0" xfId="0" applyBorder="1" applyFont="1" applyFill="1"/>
    <xf numFmtId="0" fontId="0" fillId="3" borderId="6" xfId="0" applyBorder="1" applyFill="1"/>
    <xf numFmtId="0" fontId="0" fillId="3" borderId="7" xfId="0" applyBorder="1" applyFill="1"/>
    <xf numFmtId="0" fontId="9" fillId="3" borderId="7" xfId="0" applyBorder="1" applyFont="1" applyFill="1"/>
    <xf numFmtId="0" fontId="9" fillId="3" borderId="8" xfId="0" applyBorder="1" applyFont="1" applyFill="1"/>
    <xf numFmtId="0" fontId="12" fillId="3" borderId="6" xfId="0" applyBorder="1" applyFont="1" applyFill="1"/>
    <xf numFmtId="0" fontId="0" fillId="3" borderId="9" xfId="0" applyBorder="1" applyFill="1"/>
    <xf numFmtId="0" fontId="0" fillId="3" borderId="10" xfId="0" applyBorder="1" applyFill="1"/>
    <xf numFmtId="0" fontId="15" fillId="3" borderId="6" xfId="0" applyBorder="1" applyFont="1" applyFill="1"/>
    <xf numFmtId="0" fontId="15" fillId="3" borderId="9" xfId="0" applyBorder="1" applyFont="1" applyFill="1"/>
    <xf numFmtId="0" fontId="15" fillId="3" borderId="10" xfId="0" applyBorder="1" applyFont="1" applyFill="1"/>
    <xf numFmtId="0" fontId="5" fillId="2" borderId="7" xfId="1" applyBorder="1" applyFont="1" applyFill="1"/>
    <xf numFmtId="0" fontId="2" fillId="2" borderId="0" xfId="1" applyBorder="1" applyFont="1" applyFill="1"/>
    <xf numFmtId="0" fontId="2" fillId="0" borderId="1" xfId="1" applyBorder="1" applyFont="1"/>
    <xf numFmtId="0" fontId="2" fillId="2" borderId="11" xfId="1" applyBorder="1" applyFont="1" applyFill="1"/>
    <xf numFmtId="166" fontId="5" fillId="0" borderId="1" xfId="1" applyBorder="1" applyFont="1" applyNumberFormat="1"/>
    <xf numFmtId="0" fontId="5" fillId="2" borderId="11" xfId="1" applyBorder="1" applyFont="1" applyFill="1"/>
    <xf numFmtId="9" fontId="5" fillId="2" borderId="0" xfId="1" applyBorder="1" applyFont="1" applyNumberFormat="1" applyFill="1"/>
    <xf numFmtId="0" fontId="5" fillId="0" borderId="1" xfId="1" applyAlignment="1" applyBorder="1" applyFont="1">
      <alignment horizontal="right"/>
    </xf>
    <xf numFmtId="0" fontId="5" fillId="0" borderId="1" xfId="1" applyBorder="1" applyFont="1"/>
    <xf numFmtId="0" fontId="7" fillId="2" borderId="11" xfId="1" applyBorder="1" applyFont="1" applyFill="1"/>
    <xf numFmtId="0" fontId="9" fillId="2" borderId="8" xfId="0" applyBorder="1" applyFont="1" applyFill="1"/>
    <xf numFmtId="0" fontId="9" fillId="2" borderId="12" xfId="0" applyBorder="1" applyFont="1" applyFill="1"/>
    <xf numFmtId="0" fontId="9" fillId="2" borderId="13" xfId="0" applyBorder="1" applyFont="1" applyFill="1"/>
    <xf numFmtId="0" fontId="9" fillId="3" borderId="9" xfId="0" applyBorder="1" applyFont="1" applyFill="1"/>
    <xf numFmtId="0" fontId="9" fillId="3" borderId="10" xfId="0" applyBorder="1" applyFont="1" applyFill="1"/>
    <xf numFmtId="0" fontId="9" fillId="2" borderId="11" xfId="0" applyBorder="1" applyFont="1" applyFill="1"/>
    <xf numFmtId="0" fontId="0" fillId="2" borderId="7" xfId="0" applyBorder="1" applyFill="1"/>
    <xf numFmtId="0" fontId="5" fillId="9" borderId="1" xfId="1" applyAlignment="1" applyBorder="1" applyFont="1" applyFill="1">
      <alignment horizontal="center"/>
    </xf>
    <xf numFmtId="0" fontId="5" fillId="10" borderId="1" xfId="1" applyAlignment="1" applyBorder="1" applyFont="1" applyFill="1">
      <alignment horizontal="center"/>
    </xf>
    <xf numFmtId="0" fontId="9" fillId="2" borderId="0" xfId="0" applyAlignment="1" applyBorder="1" applyFont="1" applyFill="1">
      <alignment horizontal="center"/>
    </xf>
    <xf numFmtId="0" fontId="9" fillId="3" borderId="12" xfId="0" applyBorder="1" applyFont="1" applyFill="1"/>
    <xf numFmtId="0" fontId="9" fillId="3" borderId="13" xfId="0" applyBorder="1" applyFont="1" applyFill="1"/>
    <xf numFmtId="0" fontId="14" fillId="3" borderId="6" xfId="0" applyBorder="1" applyFont="1" applyFill="1"/>
    <xf numFmtId="0" fontId="9" fillId="2" borderId="7" xfId="0" applyBorder="1" applyFont="1" applyFill="1"/>
    <xf numFmtId="0" fontId="0" fillId="2" borderId="11" xfId="0" applyBorder="1" applyFill="1"/>
    <xf numFmtId="0" fontId="0" fillId="2" borderId="8" xfId="0" applyBorder="1" applyFill="1"/>
    <xf numFmtId="0" fontId="0" fillId="2" borderId="12" xfId="0" applyBorder="1" applyFill="1"/>
    <xf numFmtId="0" fontId="0" fillId="2" borderId="13" xfId="0" applyBorder="1" applyFill="1"/>
    <xf numFmtId="1" fontId="2" fillId="0" borderId="1" xfId="1" applyBorder="1" applyFont="1" applyNumberFormat="1"/>
    <xf numFmtId="1" fontId="5" fillId="0" borderId="1" xfId="1" applyAlignment="1" applyBorder="1" applyFont="1" applyNumberFormat="1">
      <alignment horizontal="right"/>
    </xf>
    <xf numFmtId="0" fontId="14" fillId="3" borderId="9" xfId="0" applyBorder="1" applyFont="1" applyFill="1"/>
    <xf numFmtId="0" fontId="14" fillId="3" borderId="10" xfId="0" applyBorder="1" applyFont="1" applyFill="1"/>
    <xf numFmtId="0" fontId="1" fillId="2" borderId="0" xfId="0" applyAlignment="1" applyBorder="1" applyFont="1" applyFill="1">
      <alignment horizontal="center"/>
    </xf>
    <xf numFmtId="0" fontId="1" fillId="2" borderId="11" xfId="0" applyAlignment="1" applyBorder="1" applyFont="1" applyFill="1">
      <alignment horizontal="center"/>
    </xf>
    <xf numFmtId="0" fontId="25" fillId="6" borderId="7" xfId="0" applyAlignment="1" applyBorder="1" applyFont="1" applyFill="1">
      <alignment horizontal="left"/>
    </xf>
    <xf numFmtId="0" fontId="9" fillId="6" borderId="0" xfId="0" applyBorder="1" applyFont="1" applyFill="1"/>
    <xf numFmtId="0" fontId="12" fillId="3" borderId="9" xfId="0" applyBorder="1" applyFont="1" applyFill="1"/>
    <xf numFmtId="0" fontId="7" fillId="2" borderId="7" xfId="1" applyBorder="1" applyFont="1" applyFill="1"/>
    <xf numFmtId="0" fontId="9" fillId="0" borderId="1" xfId="0" applyAlignment="1" applyBorder="1" applyFont="1">
      <alignment horizontal="center"/>
    </xf>
    <xf numFmtId="0" fontId="10" fillId="3" borderId="9" xfId="0" applyBorder="1" applyFont="1" applyFill="1"/>
    <xf numFmtId="0" fontId="1" fillId="2" borderId="0" xfId="0" applyBorder="1" applyFont="1" applyFill="1"/>
    <xf numFmtId="9" fontId="9" fillId="6" borderId="1" xfId="0" applyAlignment="1" applyBorder="1" applyFont="1" applyNumberFormat="1" applyFill="1">
      <alignment horizontal="center"/>
    </xf>
    <xf numFmtId="0" fontId="9" fillId="3" borderId="6" xfId="0" applyBorder="1" applyFont="1" applyFill="1"/>
    <xf numFmtId="0" fontId="9" fillId="3" borderId="0" xfId="0" applyBorder="1" applyFont="1" applyFill="1"/>
    <xf numFmtId="0" fontId="0" fillId="3" borderId="0" xfId="0" applyBorder="1" applyFill="1"/>
    <xf numFmtId="0" fontId="15" fillId="3" borderId="7" xfId="0" applyBorder="1" applyFont="1" applyFill="1"/>
    <xf numFmtId="0" fontId="15" fillId="3" borderId="0" xfId="0" applyBorder="1" applyFont="1" applyFill="1"/>
    <xf numFmtId="0" fontId="15" fillId="3" borderId="11" xfId="0" applyBorder="1" applyFont="1" applyFill="1"/>
    <xf numFmtId="0" fontId="5" fillId="11" borderId="1" xfId="1" applyAlignment="1" applyBorder="1" applyFont="1" applyFill="1">
      <alignment horizontal="center"/>
    </xf>
    <xf numFmtId="0" fontId="5" fillId="12" borderId="1" xfId="1" applyAlignment="1" applyBorder="1" applyFont="1" applyFill="1">
      <alignment horizontal="center"/>
    </xf>
    <xf numFmtId="0" fontId="7" fillId="0" borderId="0" xfId="0" applyAlignment="1" applyFont="1">
      <alignment horizontal="right"/>
    </xf>
    <xf numFmtId="165" fontId="29" fillId="0" borderId="0" xfId="0" applyFont="1" applyNumberFormat="1"/>
    <xf numFmtId="0" fontId="30" fillId="2" borderId="0" xfId="0" applyBorder="1" applyFont="1" applyFill="1"/>
    <xf numFmtId="0" fontId="28" fillId="2" borderId="0" xfId="0" applyBorder="1" applyFont="1" applyFill="1"/>
    <xf numFmtId="0" fontId="0" fillId="2" borderId="9" xfId="0" applyBorder="1" applyFill="1"/>
    <xf numFmtId="0" fontId="9" fillId="2" borderId="6" xfId="0" applyBorder="1" applyFont="1" applyFill="1"/>
    <xf numFmtId="1" fontId="9" fillId="13" borderId="1" xfId="0" applyAlignment="1" applyBorder="1" applyFont="1" applyNumberFormat="1" applyFill="1">
      <alignment horizontal="center"/>
    </xf>
    <xf numFmtId="1" fontId="9" fillId="12" borderId="1" xfId="0" applyAlignment="1" applyBorder="1" applyFont="1" applyNumberFormat="1" applyFill="1">
      <alignment horizontal="center"/>
    </xf>
    <xf numFmtId="1" fontId="9" fillId="9" borderId="1" xfId="0" applyAlignment="1" applyBorder="1" applyFont="1" applyNumberFormat="1" applyFill="1">
      <alignment horizontal="center"/>
    </xf>
    <xf numFmtId="1" fontId="9" fillId="10" borderId="1" xfId="0" applyAlignment="1" applyBorder="1" applyFont="1" applyNumberFormat="1" applyFill="1">
      <alignment horizontal="center"/>
    </xf>
    <xf numFmtId="9" fontId="30" fillId="14" borderId="1" xfId="0" applyBorder="1" applyFont="1" applyNumberFormat="1" applyFill="1"/>
    <xf numFmtId="0" fontId="0" fillId="3" borderId="14" xfId="0" applyBorder="1" applyFill="1"/>
    <xf numFmtId="0" fontId="0" fillId="3" borderId="15" xfId="0" applyBorder="1" applyFill="1"/>
    <xf numFmtId="0" fontId="0" fillId="3" borderId="16" xfId="0" applyBorder="1" applyFill="1"/>
    <xf numFmtId="0" fontId="9" fillId="3" borderId="11" xfId="0" applyBorder="1" applyFont="1" applyFill="1"/>
    <xf numFmtId="0" fontId="16" fillId="2" borderId="0" xfId="0" applyAlignment="1" applyBorder="1" applyFont="1" applyFill="1">
      <alignment horizontal="center"/>
    </xf>
    <xf numFmtId="0" fontId="31" fillId="2" borderId="0" xfId="0" applyAlignment="1" applyBorder="1" applyFont="1" applyFill="1">
      <alignment horizontal="center" vertical="center"/>
    </xf>
    <xf numFmtId="0" fontId="31" fillId="2" borderId="11" xfId="0" applyAlignment="1" applyBorder="1" applyFont="1" applyFill="1">
      <alignment horizontal="center" vertical="center"/>
    </xf>
    <xf numFmtId="0" fontId="16" fillId="2" borderId="9" xfId="0" applyAlignment="1" applyBorder="1" applyFont="1" applyFill="1">
      <alignment horizontal="center" vertical="center"/>
    </xf>
    <xf numFmtId="0" fontId="16" fillId="2" borderId="10" xfId="0" applyAlignment="1" applyBorder="1" applyFont="1" applyFill="1">
      <alignment horizontal="center" vertical="center"/>
    </xf>
    <xf numFmtId="0" fontId="16" fillId="14" borderId="1" xfId="0" applyAlignment="1" applyBorder="1" applyFont="1" applyFill="1">
      <alignment horizontal="center" vertical="center"/>
    </xf>
    <xf numFmtId="1" fontId="9" fillId="6" borderId="1" xfId="0" applyAlignment="1" applyBorder="1" applyFont="1" applyNumberFormat="1" applyFill="1">
      <alignment horizontal="center"/>
    </xf>
    <xf numFmtId="1" fontId="9" fillId="15" borderId="1" xfId="0" applyAlignment="1" applyBorder="1" applyFont="1" applyNumberFormat="1" applyFill="1">
      <alignment horizontal="center"/>
    </xf>
    <xf numFmtId="165" fontId="0" fillId="12" borderId="1" xfId="0" applyAlignment="1" applyBorder="1" applyNumberFormat="1" applyFill="1">
      <alignment horizontal="center"/>
    </xf>
    <xf numFmtId="0" fontId="32" fillId="6" borderId="1" xfId="0" applyAlignment="1" applyBorder="1" applyFont="1" applyFill="1">
      <alignment horizontal="center"/>
    </xf>
    <xf numFmtId="0" fontId="30" fillId="2" borderId="7" xfId="0" applyBorder="1" applyFont="1" applyFill="1"/>
    <xf numFmtId="0" fontId="30" fillId="2" borderId="8" xfId="0" applyBorder="1" applyFont="1" applyFill="1"/>
    <xf numFmtId="1" fontId="9" fillId="2" borderId="0" xfId="0" applyBorder="1" applyFont="1" applyNumberFormat="1" applyFill="1"/>
    <xf numFmtId="1" fontId="15" fillId="3" borderId="0" xfId="0" applyBorder="1" applyFont="1" applyNumberFormat="1" applyFill="1"/>
    <xf numFmtId="1" fontId="9" fillId="2" borderId="12" xfId="0" applyBorder="1" applyFont="1" applyNumberFormat="1" applyFill="1"/>
    <xf numFmtId="1" fontId="9" fillId="3" borderId="0" xfId="0" applyBorder="1" applyFont="1" applyNumberFormat="1" applyFill="1"/>
    <xf numFmtId="1" fontId="32" fillId="6" borderId="1" xfId="0" applyAlignment="1" applyBorder="1" applyFont="1" applyNumberFormat="1" applyFill="1">
      <alignment horizontal="center"/>
    </xf>
    <xf numFmtId="1" fontId="9" fillId="2" borderId="0" xfId="0" applyAlignment="1" applyBorder="1" applyFont="1" applyNumberFormat="1" applyFill="1">
      <alignment horizontal="center"/>
    </xf>
    <xf numFmtId="0" fontId="0" fillId="5" borderId="0" xfId="0" applyFill="1"/>
    <xf numFmtId="0" fontId="27" fillId="5" borderId="0" xfId="0" applyFont="1" applyFill="1"/>
    <xf numFmtId="0" fontId="0" fillId="0" borderId="0" xfId="0" applyBorder="1"/>
    <xf numFmtId="1" fontId="9" fillId="3" borderId="9" xfId="0" applyBorder="1" applyFont="1" applyNumberFormat="1" applyFill="1"/>
    <xf numFmtId="1" fontId="9" fillId="3" borderId="10" xfId="0" applyBorder="1" applyFont="1" applyNumberFormat="1" applyFill="1"/>
    <xf numFmtId="1" fontId="32" fillId="6" borderId="17" xfId="0" applyAlignment="1" applyBorder="1" applyFont="1" applyNumberFormat="1" applyFill="1">
      <alignment horizontal="center"/>
    </xf>
    <xf numFmtId="1" fontId="9" fillId="3" borderId="11" xfId="0" applyBorder="1" applyFont="1" applyNumberFormat="1" applyFill="1"/>
    <xf numFmtId="1" fontId="32" fillId="2" borderId="11" xfId="0" applyAlignment="1" applyBorder="1" applyFont="1" applyNumberFormat="1" applyFill="1">
      <alignment horizontal="center"/>
    </xf>
    <xf numFmtId="1" fontId="32" fillId="2" borderId="13" xfId="0" applyAlignment="1" applyBorder="1" applyFont="1" applyNumberFormat="1" applyFill="1">
      <alignment horizontal="center"/>
    </xf>
    <xf numFmtId="1" fontId="32" fillId="15" borderId="1" xfId="0" applyAlignment="1" applyBorder="1" applyFont="1" applyNumberFormat="1" applyFill="1">
      <alignment horizontal="center"/>
    </xf>
    <xf numFmtId="1" fontId="5" fillId="13" borderId="1" xfId="1" applyAlignment="1" applyBorder="1" applyFont="1" applyNumberFormat="1" applyFill="1">
      <alignment horizontal="center"/>
    </xf>
    <xf numFmtId="1" fontId="5" fillId="13" borderId="18" xfId="1" applyAlignment="1" applyBorder="1" applyFont="1" applyNumberFormat="1" applyFill="1">
      <alignment horizontal="center"/>
    </xf>
    <xf numFmtId="1" fontId="5" fillId="16" borderId="1" xfId="1" applyAlignment="1" applyBorder="1" applyFont="1" applyNumberFormat="1" applyFill="1">
      <alignment horizontal="center"/>
    </xf>
    <xf numFmtId="0" fontId="15" fillId="3" borderId="0" xfId="0" applyAlignment="1" applyBorder="1" applyFont="1" applyFill="1">
      <alignment horizontal="center"/>
    </xf>
    <xf numFmtId="1" fontId="5" fillId="12" borderId="1" xfId="1" applyAlignment="1" applyBorder="1" applyFont="1" applyNumberFormat="1" applyFill="1">
      <alignment horizontal="center"/>
    </xf>
    <xf numFmtId="1" fontId="5" fillId="12" borderId="18" xfId="1" applyAlignment="1" applyBorder="1" applyFont="1" applyNumberFormat="1" applyFill="1">
      <alignment horizontal="center"/>
    </xf>
    <xf numFmtId="1" fontId="5" fillId="9" borderId="1" xfId="1" applyAlignment="1" applyBorder="1" applyFont="1" applyNumberFormat="1" applyFill="1">
      <alignment horizontal="center"/>
    </xf>
    <xf numFmtId="1" fontId="5" fillId="9" borderId="18" xfId="1" applyAlignment="1" applyBorder="1" applyFont="1" applyNumberFormat="1" applyFill="1">
      <alignment horizontal="center"/>
    </xf>
    <xf numFmtId="1" fontId="5" fillId="10" borderId="1" xfId="1" applyAlignment="1" applyBorder="1" applyFont="1" applyNumberFormat="1" applyFill="1">
      <alignment horizontal="center"/>
    </xf>
    <xf numFmtId="1" fontId="5" fillId="10" borderId="18" xfId="1" applyAlignment="1" applyBorder="1" applyFont="1" applyNumberFormat="1" applyFill="1">
      <alignment horizontal="center"/>
    </xf>
    <xf numFmtId="167" fontId="5" fillId="13" borderId="1" xfId="1" applyAlignment="1" applyBorder="1" applyFont="1" applyNumberFormat="1" applyFill="1">
      <alignment horizontal="center"/>
    </xf>
    <xf numFmtId="0" fontId="15" fillId="2" borderId="7" xfId="0" applyBorder="1" applyFont="1" applyFill="1"/>
    <xf numFmtId="1" fontId="9" fillId="2" borderId="11" xfId="0" applyBorder="1" applyFont="1" applyNumberFormat="1" applyFill="1"/>
    <xf numFmtId="0" fontId="16" fillId="16" borderId="19" xfId="0" applyAlignment="1" applyBorder="1" applyFont="1" applyFill="1">
      <alignment horizontal="center"/>
    </xf>
    <xf numFmtId="1" fontId="32" fillId="16" borderId="20" xfId="0" applyAlignment="1" applyBorder="1" applyFont="1" applyNumberFormat="1" applyFill="1">
      <alignment horizontal="center"/>
    </xf>
    <xf numFmtId="0" fontId="33" fillId="2" borderId="8" xfId="0" applyBorder="1" applyFont="1" applyFill="1"/>
    <xf numFmtId="9" fontId="9" fillId="2" borderId="0" xfId="0" applyAlignment="1" applyBorder="1" applyFont="1" applyNumberFormat="1" applyFill="1">
      <alignment horizontal="center"/>
    </xf>
    <xf numFmtId="0" fontId="17" fillId="3" borderId="21" xfId="0" applyBorder="1" applyFont="1" applyFill="1"/>
    <xf numFmtId="0" fontId="18" fillId="6" borderId="22" xfId="0" applyAlignment="1" applyBorder="1" applyFont="1" applyFill="1">
      <alignment horizontal="left"/>
    </xf>
    <xf numFmtId="0" fontId="0" fillId="6" borderId="22" xfId="0" applyBorder="1" applyFill="1"/>
    <xf numFmtId="0" fontId="0" fillId="7" borderId="22" xfId="0" applyBorder="1" applyFill="1"/>
    <xf numFmtId="0" fontId="0" fillId="12" borderId="22" xfId="0" applyBorder="1" applyFill="1"/>
    <xf numFmtId="0" fontId="0" fillId="8" borderId="22" xfId="0" applyBorder="1" applyFill="1"/>
    <xf numFmtId="0" fontId="0" fillId="3" borderId="8" xfId="0" applyBorder="1" applyFill="1"/>
    <xf numFmtId="0" fontId="0" fillId="3" borderId="12" xfId="0" applyBorder="1" applyFill="1"/>
    <xf numFmtId="0" fontId="0" fillId="6" borderId="23" xfId="0" applyBorder="1" applyFill="1"/>
    <xf numFmtId="0" fontId="5" fillId="2" borderId="0" xfId="1" applyAlignment="1" applyBorder="1" applyFont="1" applyFill="1">
      <alignment horizontal="right"/>
    </xf>
    <xf numFmtId="166" fontId="5" fillId="14" borderId="1" xfId="1" applyBorder="1" applyFont="1" applyNumberFormat="1" applyFill="1"/>
    <xf numFmtId="0" fontId="9" fillId="2" borderId="11" xfId="0" applyAlignment="1" applyBorder="1" applyFont="1" applyFill="1">
      <alignment horizontal="right"/>
    </xf>
    <xf numFmtId="9" fontId="5" fillId="0" borderId="20" xfId="1" applyAlignment="1" applyBorder="1" applyFont="1" applyNumberFormat="1">
      <alignment horizontal="right"/>
    </xf>
    <xf numFmtId="0" fontId="25" fillId="2" borderId="7" xfId="0" applyAlignment="1" applyBorder="1" applyFont="1" applyFill="1">
      <alignment horizontal="left"/>
    </xf>
    <xf numFmtId="0" fontId="5" fillId="0" borderId="20" xfId="1" applyAlignment="1" applyBorder="1" applyFont="1">
      <alignment horizontal="right"/>
    </xf>
    <xf numFmtId="0" fontId="7" fillId="2" borderId="12" xfId="1" applyBorder="1" applyFont="1" applyFill="1"/>
    <xf numFmtId="0" fontId="5" fillId="0" borderId="23" xfId="1" applyAlignment="1" applyBorder="1" applyFont="1">
      <alignment horizontal="right"/>
    </xf>
    <xf numFmtId="1" fontId="5" fillId="0" borderId="1" xfId="0" applyAlignment="1" applyBorder="1" applyFont="1" applyNumberFormat="1" applyFill="1">
      <alignment horizontal="center"/>
    </xf>
    <xf numFmtId="1" fontId="5" fillId="0" borderId="2" xfId="0" applyAlignment="1" applyBorder="1" applyFont="1" applyNumberFormat="1" applyFill="1">
      <alignment horizontal="center"/>
    </xf>
    <xf numFmtId="1" fontId="5" fillId="2" borderId="0" xfId="0" applyAlignment="1" applyBorder="1" applyFont="1" applyNumberFormat="1" applyFill="1">
      <alignment horizontal="center"/>
    </xf>
    <xf numFmtId="0" fontId="9" fillId="0" borderId="5" xfId="0" applyBorder="1" applyFont="1" applyFill="1"/>
    <xf numFmtId="0" fontId="9" fillId="0" borderId="3" xfId="0" applyBorder="1" applyFont="1" applyFill="1"/>
    <xf numFmtId="0" fontId="17" fillId="3" borderId="22" xfId="0" applyBorder="1" applyFont="1" applyFill="1"/>
    <xf numFmtId="0" fontId="25" fillId="9" borderId="7" xfId="0" applyAlignment="1" applyBorder="1" applyFont="1" applyFill="1">
      <alignment horizontal="left"/>
    </xf>
    <xf numFmtId="0" fontId="9" fillId="9" borderId="0" xfId="0" applyBorder="1" applyFont="1" applyFill="1"/>
    <xf numFmtId="9" fontId="9" fillId="9" borderId="1" xfId="0" applyAlignment="1" applyBorder="1" applyFont="1" applyNumberFormat="1" applyFill="1">
      <alignment horizontal="center"/>
    </xf>
    <xf numFmtId="0" fontId="25" fillId="17" borderId="7" xfId="0" applyAlignment="1" applyBorder="1" applyFont="1" applyFill="1">
      <alignment horizontal="left"/>
    </xf>
    <xf numFmtId="0" fontId="9" fillId="17" borderId="0" xfId="0" applyBorder="1" applyFont="1" applyFill="1"/>
    <xf numFmtId="9" fontId="9" fillId="17" borderId="1" xfId="0" applyAlignment="1" applyBorder="1" applyFont="1" applyNumberFormat="1" applyFill="1">
      <alignment horizontal="center"/>
    </xf>
    <xf numFmtId="0" fontId="25" fillId="15" borderId="7" xfId="0" applyAlignment="1" applyBorder="1" applyFont="1" applyFill="1">
      <alignment horizontal="left"/>
    </xf>
    <xf numFmtId="0" fontId="9" fillId="15" borderId="0" xfId="0" applyBorder="1" applyFont="1" applyFill="1"/>
    <xf numFmtId="9" fontId="9" fillId="15" borderId="1" xfId="0" applyAlignment="1" applyBorder="1" applyFont="1" applyNumberFormat="1" applyFill="1">
      <alignment horizontal="center"/>
    </xf>
    <xf numFmtId="0" fontId="18" fillId="9" borderId="22" xfId="0" applyAlignment="1" applyBorder="1" applyFont="1" applyFill="1">
      <alignment horizontal="left"/>
    </xf>
    <xf numFmtId="165" fontId="0" fillId="9" borderId="1" xfId="0" applyAlignment="1" applyBorder="1" applyNumberFormat="1" applyFill="1">
      <alignment horizontal="center"/>
    </xf>
    <xf numFmtId="165" fontId="0" fillId="9" borderId="24" xfId="0" applyAlignment="1" applyBorder="1" applyNumberFormat="1" applyFill="1">
      <alignment horizontal="center"/>
    </xf>
    <xf numFmtId="0" fontId="0" fillId="9" borderId="22" xfId="0" applyBorder="1" applyFill="1"/>
    <xf numFmtId="0" fontId="18" fillId="15" borderId="22" xfId="0" applyAlignment="1" applyBorder="1" applyFont="1" applyFill="1">
      <alignment horizontal="left"/>
    </xf>
    <xf numFmtId="165" fontId="0" fillId="15" borderId="1" xfId="0" applyAlignment="1" applyBorder="1" applyNumberFormat="1" applyFill="1">
      <alignment horizontal="center"/>
    </xf>
    <xf numFmtId="0" fontId="0" fillId="15" borderId="22" xfId="0" applyBorder="1" applyFill="1"/>
    <xf numFmtId="0" fontId="18" fillId="17" borderId="22" xfId="0" applyAlignment="1" applyBorder="1" applyFont="1" applyFill="1">
      <alignment horizontal="left"/>
    </xf>
    <xf numFmtId="165" fontId="0" fillId="17" borderId="1" xfId="0" applyAlignment="1" applyBorder="1" applyNumberFormat="1" applyFill="1">
      <alignment horizontal="center"/>
    </xf>
    <xf numFmtId="0" fontId="0" fillId="17" borderId="22" xfId="0" applyBorder="1" applyFill="1"/>
    <xf numFmtId="0" fontId="7" fillId="9" borderId="5" xfId="0" applyBorder="1" applyFont="1" applyNumberFormat="1" applyFill="1"/>
    <xf numFmtId="49" fontId="7" fillId="9" borderId="3" xfId="0" applyBorder="1" applyFont="1" applyNumberFormat="1" applyFill="1"/>
    <xf numFmtId="49" fontId="7" fillId="9" borderId="3" xfId="2" applyBorder="1" applyFont="1" applyNumberFormat="1" applyFill="1"/>
    <xf numFmtId="49" fontId="7" fillId="9" borderId="4" xfId="2" applyBorder="1" applyFont="1" applyNumberFormat="1" applyFill="1"/>
    <xf numFmtId="0" fontId="7" fillId="15" borderId="5" xfId="0" applyBorder="1" applyFont="1" applyNumberFormat="1" applyFill="1"/>
    <xf numFmtId="49" fontId="7" fillId="15" borderId="3" xfId="0" applyBorder="1" applyFont="1" applyNumberFormat="1" applyFill="1"/>
    <xf numFmtId="49" fontId="7" fillId="15" borderId="3" xfId="2" applyBorder="1" applyFont="1" applyNumberFormat="1" applyFill="1"/>
    <xf numFmtId="49" fontId="7" fillId="15" borderId="4" xfId="2" applyBorder="1" applyFont="1" applyNumberFormat="1" applyFill="1"/>
    <xf numFmtId="0" fontId="7" fillId="17" borderId="5" xfId="0" applyBorder="1" applyFont="1" applyNumberFormat="1" applyFill="1"/>
    <xf numFmtId="49" fontId="7" fillId="17" borderId="3" xfId="0" applyBorder="1" applyFont="1" applyNumberFormat="1" applyFill="1"/>
    <xf numFmtId="49" fontId="7" fillId="17" borderId="3" xfId="2" applyBorder="1" applyFont="1" applyNumberFormat="1" applyFill="1"/>
    <xf numFmtId="49" fontId="7" fillId="17" borderId="4" xfId="2" applyBorder="1" applyFont="1" applyNumberFormat="1" applyFill="1"/>
    <xf numFmtId="0" fontId="5" fillId="17" borderId="5" xfId="0" applyAlignment="1" applyBorder="1" applyFont="1" applyNumberFormat="1" applyFill="1">
      <alignment horizontal="left"/>
    </xf>
    <xf numFmtId="0" fontId="5" fillId="17" borderId="3" xfId="0" applyBorder="1" applyFont="1" applyNumberFormat="1" applyFill="1"/>
    <xf numFmtId="0" fontId="5" fillId="17" borderId="4" xfId="2" applyBorder="1" applyFont="1" applyNumberFormat="1" applyFill="1"/>
    <xf numFmtId="0" fontId="5" fillId="15" borderId="5" xfId="0" applyAlignment="1" applyBorder="1" applyFont="1" applyNumberFormat="1" applyFill="1">
      <alignment horizontal="left"/>
    </xf>
    <xf numFmtId="0" fontId="5" fillId="15" borderId="3" xfId="0" applyBorder="1" applyFont="1" applyNumberFormat="1" applyFill="1"/>
    <xf numFmtId="0" fontId="5" fillId="15" borderId="4" xfId="2" applyBorder="1" applyFont="1" applyNumberFormat="1" applyFill="1"/>
    <xf numFmtId="0" fontId="5" fillId="9" borderId="5" xfId="0" applyAlignment="1" applyBorder="1" applyFont="1" applyNumberFormat="1" applyFill="1">
      <alignment horizontal="left"/>
    </xf>
    <xf numFmtId="0" fontId="5" fillId="9" borderId="3" xfId="0" applyBorder="1" applyFont="1" applyNumberFormat="1" applyFill="1"/>
    <xf numFmtId="0" fontId="5" fillId="9" borderId="4" xfId="2" applyBorder="1" applyFont="1" applyNumberFormat="1" applyFill="1"/>
    <xf numFmtId="1" fontId="32" fillId="9" borderId="1" xfId="0" applyAlignment="1" applyBorder="1" applyFont="1" applyNumberFormat="1" applyFill="1">
      <alignment horizontal="center"/>
    </xf>
    <xf numFmtId="1" fontId="9" fillId="17" borderId="1" xfId="0" applyAlignment="1" applyBorder="1" applyFont="1" applyNumberFormat="1" applyFill="1">
      <alignment horizontal="center"/>
    </xf>
    <xf numFmtId="1" fontId="32" fillId="17" borderId="1" xfId="0" applyAlignment="1" applyBorder="1" applyFont="1" applyNumberFormat="1" applyFill="1">
      <alignment horizontal="center"/>
    </xf>
    <xf numFmtId="0" fontId="32" fillId="17" borderId="1" xfId="0" applyAlignment="1" applyBorder="1" applyFont="1" applyFill="1">
      <alignment horizontal="center"/>
    </xf>
    <xf numFmtId="0" fontId="25" fillId="17" borderId="8" xfId="0" applyAlignment="1" applyBorder="1" applyFont="1" applyFill="1">
      <alignment horizontal="left"/>
    </xf>
    <xf numFmtId="0" fontId="9" fillId="17" borderId="12" xfId="0" applyBorder="1" applyFont="1" applyFill="1"/>
    <xf numFmtId="0" fontId="32" fillId="17" borderId="17" xfId="0" applyAlignment="1" applyBorder="1" applyFont="1" applyFill="1">
      <alignment horizontal="center"/>
    </xf>
    <xf numFmtId="1" fontId="32" fillId="17" borderId="20" xfId="0" applyAlignment="1" applyBorder="1" applyFont="1" applyNumberFormat="1" applyFill="1">
      <alignment horizontal="center"/>
    </xf>
    <xf numFmtId="1" fontId="32" fillId="17" borderId="23" xfId="0" applyAlignment="1" applyBorder="1" applyFont="1" applyNumberFormat="1" applyFill="1">
      <alignment horizontal="center"/>
    </xf>
    <xf numFmtId="1" fontId="32" fillId="15" borderId="17" xfId="0" applyAlignment="1" applyBorder="1" applyFont="1" applyNumberFormat="1" applyFill="1">
      <alignment horizontal="center"/>
    </xf>
    <xf numFmtId="1" fontId="32" fillId="9" borderId="17" xfId="0" applyAlignment="1" applyBorder="1" applyFont="1" applyNumberFormat="1" applyFill="1">
      <alignment horizontal="center"/>
    </xf>
    <xf numFmtId="0" fontId="32" fillId="9" borderId="1" xfId="0" applyAlignment="1" applyBorder="1" applyFont="1" applyFill="1">
      <alignment horizontal="center"/>
    </xf>
    <xf numFmtId="0" fontId="32" fillId="15" borderId="1" xfId="0" applyAlignment="1" applyBorder="1" applyFont="1" applyFill="1">
      <alignment horizontal="center"/>
    </xf>
    <xf numFmtId="0" fontId="8" fillId="3" borderId="9" xfId="0" applyBorder="1" applyFont="1" applyFill="1"/>
    <xf numFmtId="0" fontId="13" fillId="3" borderId="6" xfId="0" applyBorder="1" applyFont="1" applyFill="1"/>
    <xf numFmtId="0" fontId="13" fillId="3" borderId="9" xfId="0" applyBorder="1" applyFont="1" applyFill="1"/>
    <xf numFmtId="0" fontId="13" fillId="3" borderId="8" xfId="0" applyBorder="1" applyFont="1" applyFill="1"/>
    <xf numFmtId="0" fontId="13" fillId="3" borderId="12" xfId="0" applyBorder="1" applyFont="1" applyFill="1"/>
    <xf numFmtId="0" fontId="11" fillId="3" borderId="0" xfId="0" applyBorder="1" applyFont="1" applyFill="1"/>
    <xf numFmtId="0" fontId="11" fillId="3" borderId="11" xfId="0" applyBorder="1" applyFont="1" applyFill="1"/>
    <xf numFmtId="0" fontId="26" fillId="3" borderId="9" xfId="0" applyAlignment="1" applyBorder="1" applyFont="1" applyFill="1">
      <alignment vertical="center"/>
    </xf>
    <xf numFmtId="0" fontId="26" fillId="3" borderId="10" xfId="0" applyAlignment="1" applyBorder="1" applyFont="1" applyFill="1">
      <alignment vertical="center"/>
    </xf>
    <xf numFmtId="0" fontId="26" fillId="3" borderId="0" xfId="0" applyAlignment="1" applyBorder="1" applyFont="1" applyFill="1">
      <alignment vertical="center"/>
    </xf>
    <xf numFmtId="0" fontId="26" fillId="3" borderId="11" xfId="0" applyAlignment="1" applyBorder="1" applyFont="1" applyFill="1">
      <alignment vertical="center"/>
    </xf>
    <xf numFmtId="0" fontId="8" fillId="3" borderId="6" xfId="0" applyBorder="1" applyFont="1" applyFill="1"/>
    <xf numFmtId="0" fontId="28" fillId="3" borderId="9" xfId="0" applyBorder="1" applyFont="1" applyFill="1"/>
    <xf numFmtId="0" fontId="28" fillId="3" borderId="7" xfId="0" applyBorder="1" applyFont="1" applyFill="1"/>
    <xf numFmtId="0" fontId="28" fillId="3" borderId="0" xfId="0" applyBorder="1" applyFont="1" applyFill="1"/>
    <xf numFmtId="0" fontId="8" fillId="3" borderId="8" xfId="0" applyBorder="1" applyFont="1" applyFill="1"/>
    <xf numFmtId="0" fontId="8" fillId="3" borderId="12" xfId="0" applyBorder="1" applyFont="1" applyFill="1"/>
    <xf numFmtId="0" fontId="19" fillId="3" borderId="18" xfId="0" applyAlignment="1" applyBorder="1" applyFont="1" applyFill="1">
      <alignment horizontal="center" vertical="center" wrapText="1"/>
    </xf>
    <xf numFmtId="0" fontId="19" fillId="3" borderId="24" xfId="0" applyAlignment="1" applyBorder="1" applyFont="1" applyFill="1">
      <alignment horizontal="center" vertical="center" wrapText="1"/>
    </xf>
    <xf numFmtId="0" fontId="22" fillId="3" borderId="0" xfId="0" applyAlignment="1" applyFont="1" applyFill="1"/>
    <xf numFmtId="0" fontId="8" fillId="3" borderId="25" xfId="0" applyBorder="1" applyFont="1" applyFill="1"/>
    <xf numFmtId="0" fontId="8" fillId="3" borderId="26" xfId="0" applyBorder="1" applyFont="1" applyFill="1"/>
    <xf numFmtId="0" fontId="8" fillId="3" borderId="6" xfId="0" applyAlignment="1" applyBorder="1" applyFont="1" applyFill="1">
      <alignment horizontal="left"/>
    </xf>
    <xf numFmtId="165" fontId="19" fillId="3" borderId="24" xfId="0" applyAlignment="1" applyBorder="1" applyFont="1" applyNumberFormat="1" applyFill="1">
      <alignment horizontal="center"/>
    </xf>
  </cellXfs>
  <cellStyles count="3">
    <cellStyle name="Currency 2" xfId="2"/>
    <cellStyle name="Normal" xfId="0" builtinId="0"/>
    <cellStyle name="Normal 2" xfId="1"/>
  </cellStyles>
  <dxfs/>
  <tableStyles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 /><Relationship Id="rId6" Type="http://schemas.openxmlformats.org/officeDocument/2006/relationships/worksheet" Target="worksheets/sheet6.xml" /><Relationship Id="rId2" Type="http://schemas.openxmlformats.org/officeDocument/2006/relationships/worksheet" Target="worksheets/sheet2.xml" /><Relationship Id="rId7" Type="http://schemas.openxmlformats.org/officeDocument/2006/relationships/worksheet" Target="worksheets/sheet7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Relationship Id="rId4" Type="http://schemas.openxmlformats.org/officeDocument/2006/relationships/worksheet" Target="worksheets/sheet4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9" Type="http://schemas.openxmlformats.org/officeDocument/2006/relationships/styles" Target="styles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Relationship Id="rId5" Type="http://schemas.openxmlformats.org/officeDocument/2006/relationships/image" Target="/xl/media/image1.emf" /><Relationship Id="rId6" Type="http://schemas.openxmlformats.org/officeDocument/2006/relationships/image" Target="/xl/media/image1.emf" /><Relationship Id="rId7" Type="http://schemas.openxmlformats.org/officeDocument/2006/relationships/image" Target="/xl/media/image1.emf" /><Relationship Id="rId8" Type="http://schemas.openxmlformats.org/officeDocument/2006/relationships/image" Target="/xl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Relationship Id="rId5" Type="http://schemas.openxmlformats.org/officeDocument/2006/relationships/image" Target="/xl/media/image1.emf" /><Relationship Id="rId6" Type="http://schemas.openxmlformats.org/officeDocument/2006/relationships/image" Target="/xl/media/image1.emf" /><Relationship Id="rId7" Type="http://schemas.openxmlformats.org/officeDocument/2006/relationships/image" Target="/xl/media/image1.emf" /><Relationship Id="rId8" Type="http://schemas.openxmlformats.org/officeDocument/2006/relationships/image" Target="/xl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Relationship Id="rId5" Type="http://schemas.openxmlformats.org/officeDocument/2006/relationships/image" Target="/xl/media/image1.emf" /><Relationship Id="rId6" Type="http://schemas.openxmlformats.org/officeDocument/2006/relationships/image" Target="/xl/media/image1.emf" /><Relationship Id="rId7" Type="http://schemas.openxmlformats.org/officeDocument/2006/relationships/image" Target="/xl/media/image1.emf" /><Relationship Id="rId8" Type="http://schemas.openxmlformats.org/officeDocument/2006/relationships/image" Target="/xl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Relationship Id="rId5" Type="http://schemas.openxmlformats.org/officeDocument/2006/relationships/image" Target="/xl/media/image1.emf" /><Relationship Id="rId6" Type="http://schemas.openxmlformats.org/officeDocument/2006/relationships/image" Target="/xl/media/image1.emf" /><Relationship Id="rId7" Type="http://schemas.openxmlformats.org/officeDocument/2006/relationships/image" Target="/xl/media/image1.emf" /><Relationship Id="rId8" Type="http://schemas.openxmlformats.org/officeDocument/2006/relationships/image" Target="/xl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56834</xdr:colOff>
          <xdr:row>0</xdr:row>
          <xdr:rowOff>85725</xdr:rowOff>
        </xdr:from>
        <xdr:to>
          <xdr:col>2</xdr:col>
          <xdr:colOff>143191</xdr:colOff>
          <xdr:row>4</xdr:row>
          <xdr:rowOff>95250</xdr:rowOff>
        </xdr:to>
        <xdr:sp xmlns:xdr="http://schemas.openxmlformats.org/drawingml/2006/spreadsheetDrawing"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30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37728</xdr:colOff>
          <xdr:row>0</xdr:row>
          <xdr:rowOff>38100</xdr:rowOff>
        </xdr:from>
        <xdr:to>
          <xdr:col>2</xdr:col>
          <xdr:colOff>314102</xdr:colOff>
          <xdr:row>3</xdr:row>
          <xdr:rowOff>9525</xdr:rowOff>
        </xdr:to>
        <xdr:sp xmlns:xdr="http://schemas.openxmlformats.org/drawingml/2006/spreadsheetDrawing" macro="" textlink="">
          <xdr:nvSpPr>
            <xdr:cNvPr id="4097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409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2</xdr:col>
          <xdr:colOff>114523</xdr:colOff>
          <xdr:row>4</xdr:row>
          <xdr:rowOff>114300</xdr:rowOff>
        </xdr:to>
        <xdr:sp xmlns:xdr="http://schemas.openxmlformats.org/drawingml/2006/spreadsheetDrawing" macro="" textlink="">
          <xdr:nvSpPr>
            <xdr:cNvPr id="6145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4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</xdr:row>
          <xdr:rowOff>0</xdr:rowOff>
        </xdr:from>
        <xdr:to>
          <xdr:col>12</xdr:col>
          <xdr:colOff>114523</xdr:colOff>
          <xdr:row>4</xdr:row>
          <xdr:rowOff>114300</xdr:rowOff>
        </xdr:to>
        <xdr:sp xmlns:xdr="http://schemas.openxmlformats.org/drawingml/2006/spreadsheetDrawing" macro="" textlink="">
          <xdr:nvSpPr>
            <xdr:cNvPr id="6146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4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</xdr:row>
          <xdr:rowOff>0</xdr:rowOff>
        </xdr:from>
        <xdr:to>
          <xdr:col>22</xdr:col>
          <xdr:colOff>114523</xdr:colOff>
          <xdr:row>4</xdr:row>
          <xdr:rowOff>114300</xdr:rowOff>
        </xdr:to>
        <xdr:sp xmlns:xdr="http://schemas.openxmlformats.org/drawingml/2006/spreadsheetDrawing" macro="" textlink="">
          <xdr:nvSpPr>
            <xdr:cNvPr id="6148" name="Object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4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</xdr:row>
          <xdr:rowOff>0</xdr:rowOff>
        </xdr:from>
        <xdr:to>
          <xdr:col>32</xdr:col>
          <xdr:colOff>114523</xdr:colOff>
          <xdr:row>4</xdr:row>
          <xdr:rowOff>114300</xdr:rowOff>
        </xdr:to>
        <xdr:sp xmlns:xdr="http://schemas.openxmlformats.org/drawingml/2006/spreadsheetDrawing" macro="" textlink="">
          <xdr:nvSpPr>
            <xdr:cNvPr id="6149" name="Object 5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4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69</xdr:row>
          <xdr:rowOff>0</xdr:rowOff>
        </xdr:from>
        <xdr:to>
          <xdr:col>2</xdr:col>
          <xdr:colOff>114523</xdr:colOff>
          <xdr:row>72</xdr:row>
          <xdr:rowOff>114300</xdr:rowOff>
        </xdr:to>
        <xdr:sp xmlns:xdr="http://schemas.openxmlformats.org/drawingml/2006/spreadsheetDrawing" macro="" textlink="">
          <xdr:nvSpPr>
            <xdr:cNvPr id="6156" name="Object 1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5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69</xdr:row>
          <xdr:rowOff>0</xdr:rowOff>
        </xdr:from>
        <xdr:to>
          <xdr:col>12</xdr:col>
          <xdr:colOff>114523</xdr:colOff>
          <xdr:row>72</xdr:row>
          <xdr:rowOff>114300</xdr:rowOff>
        </xdr:to>
        <xdr:sp xmlns:xdr="http://schemas.openxmlformats.org/drawingml/2006/spreadsheetDrawing" macro="" textlink="">
          <xdr:nvSpPr>
            <xdr:cNvPr id="6157" name="Object 1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5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69</xdr:row>
          <xdr:rowOff>0</xdr:rowOff>
        </xdr:from>
        <xdr:to>
          <xdr:col>22</xdr:col>
          <xdr:colOff>114523</xdr:colOff>
          <xdr:row>72</xdr:row>
          <xdr:rowOff>114300</xdr:rowOff>
        </xdr:to>
        <xdr:sp xmlns:xdr="http://schemas.openxmlformats.org/drawingml/2006/spreadsheetDrawing" macro="" textlink="">
          <xdr:nvSpPr>
            <xdr:cNvPr id="6158" name="Object 1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5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69</xdr:row>
          <xdr:rowOff>0</xdr:rowOff>
        </xdr:from>
        <xdr:to>
          <xdr:col>32</xdr:col>
          <xdr:colOff>114523</xdr:colOff>
          <xdr:row>72</xdr:row>
          <xdr:rowOff>114300</xdr:rowOff>
        </xdr:to>
        <xdr:sp xmlns:xdr="http://schemas.openxmlformats.org/drawingml/2006/spreadsheetDrawing" macro="" textlink="">
          <xdr:nvSpPr>
            <xdr:cNvPr id="6159" name="Object 15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5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47551</xdr:colOff>
          <xdr:row>0</xdr:row>
          <xdr:rowOff>123825</xdr:rowOff>
        </xdr:from>
        <xdr:to>
          <xdr:col>2</xdr:col>
          <xdr:colOff>162074</xdr:colOff>
          <xdr:row>4</xdr:row>
          <xdr:rowOff>104775</xdr:rowOff>
        </xdr:to>
        <xdr:sp xmlns:xdr="http://schemas.openxmlformats.org/drawingml/2006/spreadsheetDrawing" macro="" textlink="">
          <xdr:nvSpPr>
            <xdr:cNvPr id="7169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716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38174</xdr:colOff>
          <xdr:row>0</xdr:row>
          <xdr:rowOff>123825</xdr:rowOff>
        </xdr:from>
        <xdr:to>
          <xdr:col>12</xdr:col>
          <xdr:colOff>152698</xdr:colOff>
          <xdr:row>4</xdr:row>
          <xdr:rowOff>104775</xdr:rowOff>
        </xdr:to>
        <xdr:sp xmlns:xdr="http://schemas.openxmlformats.org/drawingml/2006/spreadsheetDrawing" macro="" textlink="">
          <xdr:nvSpPr>
            <xdr:cNvPr id="7170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717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38174</xdr:colOff>
          <xdr:row>0</xdr:row>
          <xdr:rowOff>123825</xdr:rowOff>
        </xdr:from>
        <xdr:to>
          <xdr:col>22</xdr:col>
          <xdr:colOff>152698</xdr:colOff>
          <xdr:row>4</xdr:row>
          <xdr:rowOff>104775</xdr:rowOff>
        </xdr:to>
        <xdr:sp xmlns:xdr="http://schemas.openxmlformats.org/drawingml/2006/spreadsheetDrawing" macro="" textlink="">
          <xdr:nvSpPr>
            <xdr:cNvPr id="7174" name="Object 6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717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38174</xdr:colOff>
          <xdr:row>0</xdr:row>
          <xdr:rowOff>123825</xdr:rowOff>
        </xdr:from>
        <xdr:to>
          <xdr:col>32</xdr:col>
          <xdr:colOff>152698</xdr:colOff>
          <xdr:row>4</xdr:row>
          <xdr:rowOff>104775</xdr:rowOff>
        </xdr:to>
        <xdr:sp xmlns:xdr="http://schemas.openxmlformats.org/drawingml/2006/spreadsheetDrawing" macro="" textlink="">
          <xdr:nvSpPr>
            <xdr:cNvPr id="7175" name="Object 7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717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47551</xdr:colOff>
          <xdr:row>68</xdr:row>
          <xdr:rowOff>123825</xdr:rowOff>
        </xdr:from>
        <xdr:to>
          <xdr:col>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7179" name="Object 1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717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47551</xdr:colOff>
          <xdr:row>68</xdr:row>
          <xdr:rowOff>123825</xdr:rowOff>
        </xdr:from>
        <xdr:to>
          <xdr:col>12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7180" name="Object 1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718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47551</xdr:colOff>
          <xdr:row>68</xdr:row>
          <xdr:rowOff>123825</xdr:rowOff>
        </xdr:from>
        <xdr:to>
          <xdr:col>22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7181" name="Object 1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718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47551</xdr:colOff>
          <xdr:row>68</xdr:row>
          <xdr:rowOff>123825</xdr:rowOff>
        </xdr:from>
        <xdr:to>
          <xdr:col>32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7182" name="Object 1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718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47551</xdr:colOff>
          <xdr:row>0</xdr:row>
          <xdr:rowOff>123825</xdr:rowOff>
        </xdr:from>
        <xdr:to>
          <xdr:col>2</xdr:col>
          <xdr:colOff>162074</xdr:colOff>
          <xdr:row>4</xdr:row>
          <xdr:rowOff>104775</xdr:rowOff>
        </xdr:to>
        <xdr:sp xmlns:xdr="http://schemas.openxmlformats.org/drawingml/2006/spreadsheetDrawing" macro="" textlink="">
          <xdr:nvSpPr>
            <xdr:cNvPr id="8194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819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38174</xdr:colOff>
          <xdr:row>0</xdr:row>
          <xdr:rowOff>123825</xdr:rowOff>
        </xdr:from>
        <xdr:to>
          <xdr:col>12</xdr:col>
          <xdr:colOff>152698</xdr:colOff>
          <xdr:row>4</xdr:row>
          <xdr:rowOff>104775</xdr:rowOff>
        </xdr:to>
        <xdr:sp xmlns:xdr="http://schemas.openxmlformats.org/drawingml/2006/spreadsheetDrawing" macro="" textlink="">
          <xdr:nvSpPr>
            <xdr:cNvPr id="8195" name="Object 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819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38174</xdr:colOff>
          <xdr:row>0</xdr:row>
          <xdr:rowOff>123825</xdr:rowOff>
        </xdr:from>
        <xdr:to>
          <xdr:col>22</xdr:col>
          <xdr:colOff>152698</xdr:colOff>
          <xdr:row>4</xdr:row>
          <xdr:rowOff>104775</xdr:rowOff>
        </xdr:to>
        <xdr:sp xmlns:xdr="http://schemas.openxmlformats.org/drawingml/2006/spreadsheetDrawing" macro="" textlink="">
          <xdr:nvSpPr>
            <xdr:cNvPr id="8196" name="Object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819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38174</xdr:colOff>
          <xdr:row>0</xdr:row>
          <xdr:rowOff>123825</xdr:rowOff>
        </xdr:from>
        <xdr:to>
          <xdr:col>32</xdr:col>
          <xdr:colOff>152698</xdr:colOff>
          <xdr:row>4</xdr:row>
          <xdr:rowOff>104775</xdr:rowOff>
        </xdr:to>
        <xdr:sp xmlns:xdr="http://schemas.openxmlformats.org/drawingml/2006/spreadsheetDrawing" macro="" textlink="">
          <xdr:nvSpPr>
            <xdr:cNvPr id="8197" name="Object 5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819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47551</xdr:colOff>
          <xdr:row>68</xdr:row>
          <xdr:rowOff>123825</xdr:rowOff>
        </xdr:from>
        <xdr:to>
          <xdr:col>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8199" name="Object 7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819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47551</xdr:colOff>
          <xdr:row>68</xdr:row>
          <xdr:rowOff>123825</xdr:rowOff>
        </xdr:from>
        <xdr:to>
          <xdr:col>12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8200" name="Object 8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820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47551</xdr:colOff>
          <xdr:row>68</xdr:row>
          <xdr:rowOff>123825</xdr:rowOff>
        </xdr:from>
        <xdr:to>
          <xdr:col>22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8201" name="Object 9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820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47551</xdr:colOff>
          <xdr:row>68</xdr:row>
          <xdr:rowOff>123825</xdr:rowOff>
        </xdr:from>
        <xdr:to>
          <xdr:col>32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8202" name="Object 10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820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47551</xdr:colOff>
          <xdr:row>0</xdr:row>
          <xdr:rowOff>123825</xdr:rowOff>
        </xdr:from>
        <xdr:to>
          <xdr:col>2</xdr:col>
          <xdr:colOff>162074</xdr:colOff>
          <xdr:row>4</xdr:row>
          <xdr:rowOff>104775</xdr:rowOff>
        </xdr:to>
        <xdr:sp xmlns:xdr="http://schemas.openxmlformats.org/drawingml/2006/spreadsheetDrawing" macro="" textlink="">
          <xdr:nvSpPr>
            <xdr:cNvPr id="14337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433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38174</xdr:colOff>
          <xdr:row>0</xdr:row>
          <xdr:rowOff>123825</xdr:rowOff>
        </xdr:from>
        <xdr:to>
          <xdr:col>12</xdr:col>
          <xdr:colOff>152698</xdr:colOff>
          <xdr:row>4</xdr:row>
          <xdr:rowOff>104775</xdr:rowOff>
        </xdr:to>
        <xdr:sp xmlns:xdr="http://schemas.openxmlformats.org/drawingml/2006/spreadsheetDrawing" macro="" textlink="">
          <xdr:nvSpPr>
            <xdr:cNvPr id="14338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433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38174</xdr:colOff>
          <xdr:row>0</xdr:row>
          <xdr:rowOff>123825</xdr:rowOff>
        </xdr:from>
        <xdr:to>
          <xdr:col>22</xdr:col>
          <xdr:colOff>152698</xdr:colOff>
          <xdr:row>4</xdr:row>
          <xdr:rowOff>104775</xdr:rowOff>
        </xdr:to>
        <xdr:sp xmlns:xdr="http://schemas.openxmlformats.org/drawingml/2006/spreadsheetDrawing" macro="" textlink="">
          <xdr:nvSpPr>
            <xdr:cNvPr id="14339" name="Object 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433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38174</xdr:colOff>
          <xdr:row>0</xdr:row>
          <xdr:rowOff>123825</xdr:rowOff>
        </xdr:from>
        <xdr:to>
          <xdr:col>32</xdr:col>
          <xdr:colOff>152698</xdr:colOff>
          <xdr:row>4</xdr:row>
          <xdr:rowOff>104775</xdr:rowOff>
        </xdr:to>
        <xdr:sp xmlns:xdr="http://schemas.openxmlformats.org/drawingml/2006/spreadsheetDrawing" macro="" textlink="">
          <xdr:nvSpPr>
            <xdr:cNvPr id="14340" name="Object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434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47551</xdr:colOff>
          <xdr:row>68</xdr:row>
          <xdr:rowOff>123825</xdr:rowOff>
        </xdr:from>
        <xdr:to>
          <xdr:col>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14342" name="Object 6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434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47551</xdr:colOff>
          <xdr:row>68</xdr:row>
          <xdr:rowOff>123825</xdr:rowOff>
        </xdr:from>
        <xdr:to>
          <xdr:col>12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14343" name="Object 7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434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47551</xdr:colOff>
          <xdr:row>68</xdr:row>
          <xdr:rowOff>123825</xdr:rowOff>
        </xdr:from>
        <xdr:to>
          <xdr:col>22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14344" name="Object 8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434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47551</xdr:colOff>
          <xdr:row>68</xdr:row>
          <xdr:rowOff>123825</xdr:rowOff>
        </xdr:from>
        <xdr:to>
          <xdr:col>32</xdr:col>
          <xdr:colOff>162074</xdr:colOff>
          <xdr:row>72</xdr:row>
          <xdr:rowOff>104775</xdr:rowOff>
        </xdr:to>
        <xdr:sp xmlns:xdr="http://schemas.openxmlformats.org/drawingml/2006/spreadsheetDrawing" macro="" textlink="">
          <xdr:nvSpPr>
            <xdr:cNvPr id="14345" name="Object 9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434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.bin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2.vml" /><Relationship Id="rId2" Type="http://schemas.openxmlformats.org/officeDocument/2006/relationships/drawing" Target="/xl/drawings/drawing2.xml" /><Relationship Id="rId1" Type="http://schemas.openxmlformats.org/officeDocument/2006/relationships/printerSettings" Target="../printerSettings/printerSettings2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6.bin" /><Relationship Id="rId3" Type="http://schemas.openxmlformats.org/officeDocument/2006/relationships/vmlDrawing" Target="/xl/drawings/vmlDrawing3.vml" /><Relationship Id="rId7" Type="http://schemas.openxmlformats.org/officeDocument/2006/relationships/oleObject" Target="/xl/embeddings/oleObject5.bin" /><Relationship Id="rId12" Type="http://schemas.openxmlformats.org/officeDocument/2006/relationships/oleObject" Target="/xl/embeddings/oleObject10.bin" /><Relationship Id="rId2" Type="http://schemas.openxmlformats.org/officeDocument/2006/relationships/drawing" Target="/xl/drawings/drawing3.xml" /><Relationship Id="rId1" Type="http://schemas.openxmlformats.org/officeDocument/2006/relationships/printerSettings" Target="../printerSettings/printerSettings4.bin" /><Relationship Id="rId6" Type="http://schemas.openxmlformats.org/officeDocument/2006/relationships/oleObject" Target="/xl/embeddings/oleObject4.bin" /><Relationship Id="rId11" Type="http://schemas.openxmlformats.org/officeDocument/2006/relationships/oleObject" Target="/xl/embeddings/oleObject9.bin" /><Relationship Id="rId5" Type="http://schemas.openxmlformats.org/officeDocument/2006/relationships/image" Target="../media/image1.emf" /><Relationship Id="rId10" Type="http://schemas.openxmlformats.org/officeDocument/2006/relationships/oleObject" Target="/xl/embeddings/oleObject8.bin" /><Relationship Id="rId4" Type="http://schemas.openxmlformats.org/officeDocument/2006/relationships/oleObject" Target="/xl/embeddings/oleObject3.bin" /><Relationship Id="rId9" Type="http://schemas.openxmlformats.org/officeDocument/2006/relationships/oleObject" Target="/xl/embeddings/oleObject7.bin" /></Relationships>
</file>

<file path=xl/worksheets/_rels/sheet5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14.bin" /><Relationship Id="rId3" Type="http://schemas.openxmlformats.org/officeDocument/2006/relationships/vmlDrawing" Target="/xl/drawings/vmlDrawing4.vml" /><Relationship Id="rId7" Type="http://schemas.openxmlformats.org/officeDocument/2006/relationships/oleObject" Target="/xl/embeddings/oleObject13.bin" /><Relationship Id="rId12" Type="http://schemas.openxmlformats.org/officeDocument/2006/relationships/oleObject" Target="/xl/embeddings/oleObject18.bin" /><Relationship Id="rId2" Type="http://schemas.openxmlformats.org/officeDocument/2006/relationships/drawing" Target="/xl/drawings/drawing4.xml" /><Relationship Id="rId1" Type="http://schemas.openxmlformats.org/officeDocument/2006/relationships/printerSettings" Target="../printerSettings/printerSettings5.bin" /><Relationship Id="rId6" Type="http://schemas.openxmlformats.org/officeDocument/2006/relationships/oleObject" Target="/xl/embeddings/oleObject12.bin" /><Relationship Id="rId11" Type="http://schemas.openxmlformats.org/officeDocument/2006/relationships/oleObject" Target="/xl/embeddings/oleObject17.bin" /><Relationship Id="rId5" Type="http://schemas.openxmlformats.org/officeDocument/2006/relationships/image" Target="../media/image1.emf" /><Relationship Id="rId10" Type="http://schemas.openxmlformats.org/officeDocument/2006/relationships/oleObject" Target="/xl/embeddings/oleObject16.bin" /><Relationship Id="rId4" Type="http://schemas.openxmlformats.org/officeDocument/2006/relationships/oleObject" Target="/xl/embeddings/oleObject11.bin" /><Relationship Id="rId9" Type="http://schemas.openxmlformats.org/officeDocument/2006/relationships/oleObject" Target="/xl/embeddings/oleObject15.bin" /></Relationships>
</file>

<file path=xl/worksheets/_rels/sheet6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22.bin" /><Relationship Id="rId3" Type="http://schemas.openxmlformats.org/officeDocument/2006/relationships/vmlDrawing" Target="/xl/drawings/vmlDrawing5.vml" /><Relationship Id="rId7" Type="http://schemas.openxmlformats.org/officeDocument/2006/relationships/oleObject" Target="/xl/embeddings/oleObject21.bin" /><Relationship Id="rId12" Type="http://schemas.openxmlformats.org/officeDocument/2006/relationships/oleObject" Target="/xl/embeddings/oleObject26.bin" /><Relationship Id="rId2" Type="http://schemas.openxmlformats.org/officeDocument/2006/relationships/drawing" Target="/xl/drawings/drawing5.xml" /><Relationship Id="rId1" Type="http://schemas.openxmlformats.org/officeDocument/2006/relationships/printerSettings" Target="../printerSettings/printerSettings6.bin" /><Relationship Id="rId6" Type="http://schemas.openxmlformats.org/officeDocument/2006/relationships/oleObject" Target="/xl/embeddings/oleObject20.bin" /><Relationship Id="rId11" Type="http://schemas.openxmlformats.org/officeDocument/2006/relationships/oleObject" Target="/xl/embeddings/oleObject25.bin" /><Relationship Id="rId5" Type="http://schemas.openxmlformats.org/officeDocument/2006/relationships/image" Target="../media/image1.emf" /><Relationship Id="rId10" Type="http://schemas.openxmlformats.org/officeDocument/2006/relationships/oleObject" Target="/xl/embeddings/oleObject24.bin" /><Relationship Id="rId4" Type="http://schemas.openxmlformats.org/officeDocument/2006/relationships/oleObject" Target="/xl/embeddings/oleObject19.bin" /><Relationship Id="rId9" Type="http://schemas.openxmlformats.org/officeDocument/2006/relationships/oleObject" Target="/xl/embeddings/oleObject23.bin" /></Relationships>
</file>

<file path=xl/worksheets/_rels/sheet7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30.bin" /><Relationship Id="rId3" Type="http://schemas.openxmlformats.org/officeDocument/2006/relationships/vmlDrawing" Target="/xl/drawings/vmlDrawing6.vml" /><Relationship Id="rId7" Type="http://schemas.openxmlformats.org/officeDocument/2006/relationships/oleObject" Target="/xl/embeddings/oleObject29.bin" /><Relationship Id="rId12" Type="http://schemas.openxmlformats.org/officeDocument/2006/relationships/oleObject" Target="/xl/embeddings/oleObject34.bin" /><Relationship Id="rId2" Type="http://schemas.openxmlformats.org/officeDocument/2006/relationships/drawing" Target="/xl/drawings/drawing6.xml" /><Relationship Id="rId1" Type="http://schemas.openxmlformats.org/officeDocument/2006/relationships/printerSettings" Target="../printerSettings/printerSettings7.bin" /><Relationship Id="rId6" Type="http://schemas.openxmlformats.org/officeDocument/2006/relationships/oleObject" Target="/xl/embeddings/oleObject28.bin" /><Relationship Id="rId11" Type="http://schemas.openxmlformats.org/officeDocument/2006/relationships/oleObject" Target="/xl/embeddings/oleObject33.bin" /><Relationship Id="rId5" Type="http://schemas.openxmlformats.org/officeDocument/2006/relationships/image" Target="../media/image1.emf" /><Relationship Id="rId10" Type="http://schemas.openxmlformats.org/officeDocument/2006/relationships/oleObject" Target="/xl/embeddings/oleObject32.bin" /><Relationship Id="rId4" Type="http://schemas.openxmlformats.org/officeDocument/2006/relationships/oleObject" Target="/xl/embeddings/oleObject27.bin" /><Relationship Id="rId9" Type="http://schemas.openxmlformats.org/officeDocument/2006/relationships/oleObject" Target="/xl/embeddings/oleObject3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R211"/>
  <sheetViews>
    <sheetView zoomScale="80" view="normal" workbookViewId="0">
      <selection pane="topLeft" activeCell="G74" sqref="G74"/>
    </sheetView>
  </sheetViews>
  <sheetFormatPr defaultRowHeight="15"/>
  <cols>
    <col min="1" max="1" width="11.75390625" customWidth="1"/>
    <col min="2" max="9" width="10.75390625" customWidth="1"/>
  </cols>
  <sheetData>
    <row r="1" spans="1:44" ht="11.1" customHeight="1">
      <c r="A1" s="147"/>
      <c r="B1" s="118"/>
      <c r="C1" s="118"/>
      <c r="D1" s="118"/>
      <c r="E1" s="118"/>
      <c r="F1" s="118"/>
      <c r="G1" s="118"/>
      <c r="H1" s="119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1.1" customHeight="1">
      <c r="A2" s="97"/>
      <c r="B2" s="148"/>
      <c r="C2" s="148"/>
      <c r="D2" s="296" t="s">
        <v>29</v>
      </c>
      <c r="E2" s="296"/>
      <c r="F2" s="296"/>
      <c r="G2" s="296"/>
      <c r="H2" s="297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1" customHeight="1">
      <c r="A3" s="97"/>
      <c r="B3" s="148"/>
      <c r="C3" s="148"/>
      <c r="D3" s="296"/>
      <c r="E3" s="296"/>
      <c r="F3" s="296"/>
      <c r="G3" s="296"/>
      <c r="H3" s="297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1" customHeight="1">
      <c r="A4" s="97"/>
      <c r="B4" s="148"/>
      <c r="C4" s="148"/>
      <c r="D4" s="296"/>
      <c r="E4" s="296"/>
      <c r="F4" s="296"/>
      <c r="G4" s="296"/>
      <c r="H4" s="297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1.1" customHeight="1" thickBot="1">
      <c r="A5" s="98"/>
      <c r="B5" s="125"/>
      <c r="C5" s="125"/>
      <c r="D5" s="125"/>
      <c r="E5" s="125"/>
      <c r="F5" s="125"/>
      <c r="G5" s="125"/>
      <c r="H5" s="126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1.1" customHeight="1" thickBot="1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4.1" customHeight="1">
      <c r="A7" s="292" t="s">
        <v>125</v>
      </c>
      <c r="B7" s="293"/>
      <c r="C7" s="293"/>
      <c r="D7" s="293"/>
      <c r="E7" s="118"/>
      <c r="F7" s="118"/>
      <c r="G7" s="118"/>
      <c r="H7" s="119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4.1" customHeight="1" thickBot="1">
      <c r="A8" s="294"/>
      <c r="B8" s="295"/>
      <c r="C8" s="295"/>
      <c r="D8" s="295"/>
      <c r="E8" s="125"/>
      <c r="F8" s="125"/>
      <c r="G8" s="125"/>
      <c r="H8" s="126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4.1" customHeight="1" thickBo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4.1" customHeight="1">
      <c r="A10" s="127" t="s">
        <v>31</v>
      </c>
      <c r="B10" s="144"/>
      <c r="C10" s="144"/>
      <c r="D10" s="144"/>
      <c r="E10" s="144"/>
      <c r="F10" s="144"/>
      <c r="G10" s="144"/>
      <c r="H10" s="119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4.1" customHeight="1">
      <c r="A11" s="128" t="s">
        <v>32</v>
      </c>
      <c r="B11" s="8"/>
      <c r="C11" s="8" t="s">
        <v>53</v>
      </c>
      <c r="D11" s="8"/>
      <c r="E11" s="8" t="s">
        <v>54</v>
      </c>
      <c r="F11" s="8"/>
      <c r="G11" s="8"/>
      <c r="H11" s="12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4.1" customHeight="1">
      <c r="A12" s="121"/>
      <c r="B12" s="8"/>
      <c r="C12" s="8"/>
      <c r="D12" s="145" t="s">
        <v>158</v>
      </c>
      <c r="E12" s="145"/>
      <c r="F12" s="145"/>
      <c r="G12" s="8"/>
      <c r="H12" s="226" t="s">
        <v>161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4.1" customHeight="1">
      <c r="A13" s="139" t="s">
        <v>163</v>
      </c>
      <c r="B13" s="140"/>
      <c r="C13" s="146">
        <v>0.1</v>
      </c>
      <c r="D13" s="146">
        <v>1</v>
      </c>
      <c r="E13" s="146"/>
      <c r="F13" s="146"/>
      <c r="G13" s="6" t="s">
        <v>36</v>
      </c>
      <c r="H13" s="227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4.1" customHeight="1">
      <c r="A14" s="238" t="s">
        <v>164</v>
      </c>
      <c r="B14" s="239"/>
      <c r="C14" s="240">
        <v>0.2</v>
      </c>
      <c r="D14" s="240">
        <v>1</v>
      </c>
      <c r="E14" s="240"/>
      <c r="F14" s="240"/>
      <c r="G14" s="6" t="s">
        <v>37</v>
      </c>
      <c r="H14" s="227">
        <v>0.7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4.1" customHeight="1">
      <c r="A15" s="244" t="s">
        <v>165</v>
      </c>
      <c r="B15" s="245"/>
      <c r="C15" s="246">
        <v>0.3</v>
      </c>
      <c r="D15" s="246">
        <v>1</v>
      </c>
      <c r="E15" s="246"/>
      <c r="F15" s="246"/>
      <c r="G15" s="6" t="s">
        <v>38</v>
      </c>
      <c r="H15" s="227">
        <v>0.3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4.1" customHeight="1">
      <c r="A16" s="241" t="s">
        <v>167</v>
      </c>
      <c r="B16" s="242"/>
      <c r="C16" s="243">
        <v>0.4</v>
      </c>
      <c r="D16" s="243">
        <v>1</v>
      </c>
      <c r="E16" s="243"/>
      <c r="F16" s="243"/>
      <c r="G16" s="8"/>
      <c r="H16" s="226" t="s">
        <v>160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4.1" customHeight="1">
      <c r="A17" s="228"/>
      <c r="B17" s="8"/>
      <c r="C17" s="214"/>
      <c r="D17" s="214"/>
      <c r="E17" s="214"/>
      <c r="F17" s="214"/>
      <c r="G17" s="6" t="s">
        <v>36</v>
      </c>
      <c r="H17" s="229">
        <v>65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4.1" customHeight="1">
      <c r="A18" s="128"/>
      <c r="B18" s="8"/>
      <c r="C18" s="11"/>
      <c r="D18" s="8"/>
      <c r="E18" s="11"/>
      <c r="F18" s="11"/>
      <c r="G18" s="6" t="s">
        <v>37</v>
      </c>
      <c r="H18" s="229">
        <v>83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4.1" customHeight="1" thickBot="1">
      <c r="A19" s="130"/>
      <c r="B19" s="131"/>
      <c r="C19" s="131"/>
      <c r="D19" s="131"/>
      <c r="E19" s="131"/>
      <c r="F19" s="131"/>
      <c r="G19" s="230" t="s">
        <v>38</v>
      </c>
      <c r="H19" s="231">
        <v>94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4.1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4.1" customHeight="1">
      <c r="A21" s="127" t="s">
        <v>56</v>
      </c>
      <c r="B21" s="141"/>
      <c r="C21" s="141"/>
      <c r="D21" s="118"/>
      <c r="E21" s="100"/>
      <c r="F21" s="103" t="s">
        <v>57</v>
      </c>
      <c r="G21" s="118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4.1" customHeight="1">
      <c r="A22" s="142" t="s">
        <v>36</v>
      </c>
      <c r="B22" s="112">
        <v>61</v>
      </c>
      <c r="C22" s="6" t="s">
        <v>5</v>
      </c>
      <c r="D22" s="143">
        <v>1.15</v>
      </c>
      <c r="E22" s="145" t="s">
        <v>47</v>
      </c>
      <c r="F22" s="6" t="s">
        <v>36</v>
      </c>
      <c r="G22" s="112">
        <v>1096</v>
      </c>
      <c r="H22" s="114" t="s">
        <v>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4.1" customHeight="1">
      <c r="A23" s="142" t="s">
        <v>37</v>
      </c>
      <c r="B23" s="112">
        <v>75</v>
      </c>
      <c r="C23" s="6" t="s">
        <v>5</v>
      </c>
      <c r="D23" s="8" t="s">
        <v>159</v>
      </c>
      <c r="E23" s="8"/>
      <c r="F23" s="6" t="s">
        <v>37</v>
      </c>
      <c r="G23" s="112">
        <v>899</v>
      </c>
      <c r="H23" s="114" t="s">
        <v>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4.1" customHeight="1">
      <c r="A24" s="142" t="s">
        <v>38</v>
      </c>
      <c r="B24" s="112">
        <v>88</v>
      </c>
      <c r="C24" s="6" t="s">
        <v>5</v>
      </c>
      <c r="D24" s="6" t="s">
        <v>36</v>
      </c>
      <c r="E24" s="112">
        <v>65</v>
      </c>
      <c r="F24" s="6" t="s">
        <v>38</v>
      </c>
      <c r="G24" s="112">
        <v>899</v>
      </c>
      <c r="H24" s="114" t="s">
        <v>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4.1" customHeight="1">
      <c r="A25" s="142" t="s">
        <v>39</v>
      </c>
      <c r="B25" s="112">
        <v>120</v>
      </c>
      <c r="C25" s="6" t="s">
        <v>5</v>
      </c>
      <c r="D25" s="6" t="s">
        <v>37</v>
      </c>
      <c r="E25" s="112">
        <v>83</v>
      </c>
      <c r="F25" s="6" t="s">
        <v>39</v>
      </c>
      <c r="G25" s="112">
        <v>899</v>
      </c>
      <c r="H25" s="114" t="s">
        <v>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4.1" customHeight="1">
      <c r="A26" s="142" t="s">
        <v>40</v>
      </c>
      <c r="B26" s="113">
        <v>150</v>
      </c>
      <c r="C26" s="6" t="s">
        <v>5</v>
      </c>
      <c r="D26" s="6" t="s">
        <v>38</v>
      </c>
      <c r="E26" s="112">
        <v>94</v>
      </c>
      <c r="F26" s="6" t="s">
        <v>40</v>
      </c>
      <c r="G26" s="112">
        <v>899</v>
      </c>
      <c r="H26" s="114" t="s">
        <v>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4.1" customHeight="1" thickBot="1">
      <c r="A27" s="115"/>
      <c r="B27" s="116"/>
      <c r="C27" s="116"/>
      <c r="D27" s="116"/>
      <c r="E27" s="116"/>
      <c r="F27" s="116"/>
      <c r="G27" s="116"/>
      <c r="H27" s="1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4.1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4.1" customHeight="1">
      <c r="A29" s="127" t="s">
        <v>58</v>
      </c>
      <c r="B29" s="135"/>
      <c r="C29" s="135"/>
      <c r="D29" s="135"/>
      <c r="E29" s="135"/>
      <c r="F29" s="135"/>
      <c r="G29" s="135"/>
      <c r="H29" s="13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4.1" customHeight="1">
      <c r="A30" s="128" t="s">
        <v>32</v>
      </c>
      <c r="B30" s="8"/>
      <c r="C30" s="8"/>
      <c r="D30" s="8"/>
      <c r="E30" s="8" t="s">
        <v>45</v>
      </c>
      <c r="F30" s="8"/>
      <c r="G30" s="8"/>
      <c r="H30" s="12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4.1" customHeight="1">
      <c r="A31" s="121" t="s">
        <v>157</v>
      </c>
      <c r="B31" s="11"/>
      <c r="C31" s="137" t="s">
        <v>41</v>
      </c>
      <c r="D31" s="137" t="s">
        <v>46</v>
      </c>
      <c r="E31" s="137" t="s">
        <v>42</v>
      </c>
      <c r="F31" s="137" t="s">
        <v>43</v>
      </c>
      <c r="G31" s="137" t="s">
        <v>44</v>
      </c>
      <c r="H31" s="13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4.1" customHeight="1">
      <c r="A32" s="139" t="str">
        <f>A13</f>
        <v>Malpas &amp; Bettws</v>
      </c>
      <c r="B32" s="140"/>
      <c r="C32" s="179">
        <v>1950</v>
      </c>
      <c r="D32" s="179">
        <v>1950</v>
      </c>
      <c r="E32" s="179">
        <v>1950</v>
      </c>
      <c r="F32" s="179">
        <v>1950</v>
      </c>
      <c r="G32" s="179">
        <v>1950</v>
      </c>
      <c r="H32" s="12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4.1" customHeight="1">
      <c r="A33" s="238" t="str">
        <f>A14</f>
        <v>Newport East </v>
      </c>
      <c r="B33" s="239"/>
      <c r="C33" s="289">
        <v>1950</v>
      </c>
      <c r="D33" s="289">
        <v>1950</v>
      </c>
      <c r="E33" s="289">
        <v>1950</v>
      </c>
      <c r="F33" s="289">
        <v>1950</v>
      </c>
      <c r="G33" s="289">
        <v>1950</v>
      </c>
      <c r="H33" s="12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4.1" customHeight="1">
      <c r="A34" s="244" t="str">
        <f>A15</f>
        <v>Rog/Newport West </v>
      </c>
      <c r="B34" s="245"/>
      <c r="C34" s="290">
        <v>1950</v>
      </c>
      <c r="D34" s="290">
        <v>1950</v>
      </c>
      <c r="E34" s="290">
        <v>1950</v>
      </c>
      <c r="F34" s="290">
        <v>1950</v>
      </c>
      <c r="G34" s="290">
        <v>1950</v>
      </c>
      <c r="H34" s="1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4.1" customHeight="1">
      <c r="A35" s="241" t="str">
        <f>A16</f>
        <v>Caerleon/Rural</v>
      </c>
      <c r="B35" s="242"/>
      <c r="C35" s="281">
        <v>2050</v>
      </c>
      <c r="D35" s="281">
        <v>2050</v>
      </c>
      <c r="E35" s="281">
        <v>2050</v>
      </c>
      <c r="F35" s="281">
        <v>2050</v>
      </c>
      <c r="G35" s="281">
        <v>2050</v>
      </c>
      <c r="H35" s="12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4.1" customHeight="1">
      <c r="A36" s="121" t="s">
        <v>31</v>
      </c>
      <c r="B36" s="11"/>
      <c r="C36" s="137" t="s">
        <v>41</v>
      </c>
      <c r="D36" s="137" t="s">
        <v>46</v>
      </c>
      <c r="E36" s="137" t="s">
        <v>42</v>
      </c>
      <c r="F36" s="11"/>
      <c r="G36" s="11"/>
      <c r="H36" s="12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4.1" customHeight="1">
      <c r="A37" s="139" t="str">
        <f>A32</f>
        <v>Malpas &amp; Bettws</v>
      </c>
      <c r="B37" s="140"/>
      <c r="C37" s="179">
        <v>921</v>
      </c>
      <c r="D37" s="179">
        <v>891</v>
      </c>
      <c r="E37" s="179">
        <v>848</v>
      </c>
      <c r="F37" s="11"/>
      <c r="G37" s="11"/>
      <c r="H37" s="12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4.1" customHeight="1">
      <c r="A38" s="238" t="str">
        <f>A33</f>
        <v>Newport East </v>
      </c>
      <c r="B38" s="239"/>
      <c r="C38" s="289">
        <v>925</v>
      </c>
      <c r="D38" s="289">
        <v>898</v>
      </c>
      <c r="E38" s="289">
        <v>855</v>
      </c>
      <c r="F38" s="11"/>
      <c r="G38" s="11"/>
      <c r="H38" s="1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4.1" customHeight="1">
      <c r="A39" s="244" t="str">
        <f>A34</f>
        <v>Rog/Newport West </v>
      </c>
      <c r="B39" s="245"/>
      <c r="C39" s="290">
        <v>948</v>
      </c>
      <c r="D39" s="290">
        <v>932</v>
      </c>
      <c r="E39" s="290">
        <v>886</v>
      </c>
      <c r="F39" s="11"/>
      <c r="G39" s="11"/>
      <c r="H39" s="12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4.1" customHeight="1" thickBot="1">
      <c r="A40" s="282" t="str">
        <f>A35</f>
        <v>Caerleon/Rural</v>
      </c>
      <c r="B40" s="283"/>
      <c r="C40" s="284">
        <v>1027</v>
      </c>
      <c r="D40" s="284">
        <v>1057</v>
      </c>
      <c r="E40" s="284">
        <v>1001</v>
      </c>
      <c r="F40" s="131"/>
      <c r="G40" s="131"/>
      <c r="H40" s="13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9:44" ht="14.1" customHeight="1" thickBot="1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4.1" customHeight="1">
      <c r="A42" s="102" t="s">
        <v>59</v>
      </c>
      <c r="B42" s="103"/>
      <c r="C42" s="103"/>
      <c r="D42" s="103"/>
      <c r="E42" s="103"/>
      <c r="F42" s="103"/>
      <c r="G42" s="103"/>
      <c r="H42" s="10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4.1" customHeight="1">
      <c r="A43" s="105" t="s">
        <v>12</v>
      </c>
      <c r="B43" s="106"/>
      <c r="C43" s="106"/>
      <c r="D43" s="106"/>
      <c r="E43" s="107"/>
      <c r="F43" s="6" t="s">
        <v>48</v>
      </c>
      <c r="G43" s="106"/>
      <c r="H43" s="10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4.1" customHeight="1">
      <c r="A44" s="105" t="s">
        <v>13</v>
      </c>
      <c r="B44" s="10"/>
      <c r="C44" s="10"/>
      <c r="D44" s="10"/>
      <c r="E44" s="109">
        <v>0.08</v>
      </c>
      <c r="F44" s="6" t="s">
        <v>49</v>
      </c>
      <c r="G44" s="10"/>
      <c r="H44" s="1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4.1" customHeight="1">
      <c r="A45" s="105" t="s">
        <v>15</v>
      </c>
      <c r="B45" s="10"/>
      <c r="C45" s="10"/>
      <c r="D45" s="10"/>
      <c r="E45" s="109">
        <v>0.005</v>
      </c>
      <c r="F45" s="6" t="s">
        <v>16</v>
      </c>
      <c r="G45" s="10"/>
      <c r="H45" s="1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4.1" customHeight="1">
      <c r="A46" s="105" t="s">
        <v>17</v>
      </c>
      <c r="B46" s="10"/>
      <c r="C46" s="10"/>
      <c r="D46" s="10"/>
      <c r="E46" s="109">
        <v>0.011</v>
      </c>
      <c r="F46" s="6" t="s">
        <v>49</v>
      </c>
      <c r="G46" s="10"/>
      <c r="H46" s="1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4.1" customHeight="1">
      <c r="A47" s="105" t="s">
        <v>18</v>
      </c>
      <c r="B47" s="10"/>
      <c r="C47" s="10"/>
      <c r="D47" s="10"/>
      <c r="E47" s="109">
        <v>0.02</v>
      </c>
      <c r="F47" s="6" t="s">
        <v>50</v>
      </c>
      <c r="G47" s="10"/>
      <c r="H47" s="1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4.1" customHeight="1">
      <c r="A48" s="105" t="s">
        <v>19</v>
      </c>
      <c r="B48" s="10"/>
      <c r="C48" s="111"/>
      <c r="D48" s="10"/>
      <c r="E48" s="109">
        <v>0.05</v>
      </c>
      <c r="F48" s="6" t="s">
        <v>49</v>
      </c>
      <c r="G48" s="10"/>
      <c r="H48" s="1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4.1" customHeight="1">
      <c r="A49" s="105" t="s">
        <v>20</v>
      </c>
      <c r="B49" s="106"/>
      <c r="C49" s="106"/>
      <c r="D49" s="106"/>
      <c r="E49" s="133">
        <v>4000</v>
      </c>
      <c r="F49" s="6" t="s">
        <v>51</v>
      </c>
      <c r="G49" s="106"/>
      <c r="H49" s="10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4.1" customHeight="1">
      <c r="A50" s="105" t="s">
        <v>21</v>
      </c>
      <c r="B50" s="10"/>
      <c r="C50" s="109">
        <v>0.05</v>
      </c>
      <c r="D50" s="134">
        <v>12</v>
      </c>
      <c r="E50" s="6" t="s">
        <v>52</v>
      </c>
      <c r="F50" s="10"/>
      <c r="G50" s="113">
        <v>6</v>
      </c>
      <c r="H50" s="114" t="s">
        <v>124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4.1" customHeight="1">
      <c r="A51" s="105" t="s">
        <v>23</v>
      </c>
      <c r="B51" s="10"/>
      <c r="C51" s="109"/>
      <c r="D51" s="6" t="s">
        <v>24</v>
      </c>
      <c r="E51" s="10"/>
      <c r="F51" s="10"/>
      <c r="G51" s="10"/>
      <c r="H51" s="1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4.1" customHeight="1">
      <c r="A52" s="105" t="s">
        <v>25</v>
      </c>
      <c r="B52" s="10"/>
      <c r="C52" s="224" t="s">
        <v>155</v>
      </c>
      <c r="D52" s="109">
        <v>0.2</v>
      </c>
      <c r="E52" s="6" t="s">
        <v>26</v>
      </c>
      <c r="F52" s="224" t="s">
        <v>156</v>
      </c>
      <c r="G52" s="225">
        <v>0.06</v>
      </c>
      <c r="H52" s="110" t="s">
        <v>26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4.1" customHeight="1" thickBot="1">
      <c r="A53" s="115"/>
      <c r="B53" s="116"/>
      <c r="C53" s="116"/>
      <c r="D53" s="116"/>
      <c r="E53" s="116"/>
      <c r="F53" s="116"/>
      <c r="G53" s="116"/>
      <c r="H53" s="11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4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4.1" customHeight="1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 customHeight="1">
      <c r="A56" s="292" t="s">
        <v>111</v>
      </c>
      <c r="B56" s="293"/>
      <c r="C56" s="293"/>
      <c r="D56" s="293"/>
      <c r="E56" s="293"/>
      <c r="F56" s="293"/>
      <c r="G56" s="118"/>
      <c r="H56" s="11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4.1" customHeight="1" thickBot="1">
      <c r="A57" s="294"/>
      <c r="B57" s="295"/>
      <c r="C57" s="295"/>
      <c r="D57" s="295"/>
      <c r="E57" s="295"/>
      <c r="F57" s="295"/>
      <c r="G57" s="125"/>
      <c r="H57" s="1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9:44" ht="14.1" customHeight="1" thickBot="1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4.1" customHeight="1">
      <c r="A59" s="127" t="s">
        <v>114</v>
      </c>
      <c r="B59" s="100"/>
      <c r="C59" s="100"/>
      <c r="D59" s="100"/>
      <c r="E59" s="100"/>
      <c r="F59" s="100"/>
      <c r="G59" s="100"/>
      <c r="H59" s="10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4.1" customHeight="1">
      <c r="A60" s="128" t="s">
        <v>112</v>
      </c>
      <c r="B60" s="235" t="s">
        <v>122</v>
      </c>
      <c r="C60" s="236"/>
      <c r="D60" s="83"/>
      <c r="E60" s="11"/>
      <c r="F60" s="11"/>
      <c r="G60" s="11"/>
      <c r="H60" s="12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4.1" customHeight="1">
      <c r="A61" s="128" t="s">
        <v>113</v>
      </c>
      <c r="B61" s="11"/>
      <c r="C61" s="232">
        <v>200</v>
      </c>
      <c r="D61" s="60"/>
      <c r="E61" s="11"/>
      <c r="F61" s="11"/>
      <c r="G61" s="11"/>
      <c r="H61" s="12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4.1" customHeight="1">
      <c r="A62" s="121"/>
      <c r="B62" s="11"/>
      <c r="C62" s="234"/>
      <c r="D62" s="60"/>
      <c r="E62" s="11"/>
      <c r="F62" s="11"/>
      <c r="G62" s="11"/>
      <c r="H62" s="12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4.1" customHeight="1">
      <c r="A63" s="121"/>
      <c r="B63" s="11"/>
      <c r="C63" s="234"/>
      <c r="D63" s="60"/>
      <c r="E63" s="11"/>
      <c r="F63" s="11"/>
      <c r="G63" s="11"/>
      <c r="H63" s="12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4.1" customHeight="1">
      <c r="A64" s="121"/>
      <c r="B64" s="11"/>
      <c r="C64" s="234"/>
      <c r="D64" s="60"/>
      <c r="E64" s="11"/>
      <c r="F64" s="11"/>
      <c r="G64" s="11"/>
      <c r="H64" s="12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4.1" customHeight="1">
      <c r="A65" s="121"/>
      <c r="B65" s="11"/>
      <c r="C65" s="234"/>
      <c r="D65" s="60"/>
      <c r="E65" s="11"/>
      <c r="F65" s="11"/>
      <c r="G65" s="11"/>
      <c r="H65" s="12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4.1" customHeight="1" thickBot="1">
      <c r="A66" s="130"/>
      <c r="B66" s="131"/>
      <c r="C66" s="131"/>
      <c r="D66" s="131"/>
      <c r="E66" s="131"/>
      <c r="F66" s="131"/>
      <c r="G66" s="131"/>
      <c r="H66" s="13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2:44" ht="14.1" customHeight="1" thickBot="1">
      <c r="B67"/>
      <c r="C6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4.1" customHeight="1">
      <c r="A68" s="127" t="s">
        <v>115</v>
      </c>
      <c r="B68" s="100"/>
      <c r="C68" s="100"/>
      <c r="D68" s="100"/>
      <c r="E68" s="100"/>
      <c r="F68" s="100"/>
      <c r="G68" s="100"/>
      <c r="H68" s="10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4.1" customHeight="1">
      <c r="A69" s="128" t="s">
        <v>112</v>
      </c>
      <c r="B69" s="235" t="s">
        <v>168</v>
      </c>
      <c r="C69" s="236"/>
      <c r="D69" s="83"/>
      <c r="E69" s="11"/>
      <c r="F69" s="11"/>
      <c r="G69" s="11"/>
      <c r="H69" s="12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4.1" customHeight="1">
      <c r="A70" s="128" t="s">
        <v>113</v>
      </c>
      <c r="B70" s="11"/>
      <c r="C70" s="233"/>
      <c r="D70" s="60" t="s">
        <v>36</v>
      </c>
      <c r="E70" s="11"/>
      <c r="F70" s="11"/>
      <c r="G70" s="11"/>
      <c r="H70" s="12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4.1" customHeight="1">
      <c r="A71" s="121"/>
      <c r="B71" s="11"/>
      <c r="C71" s="232">
        <v>50</v>
      </c>
      <c r="D71" s="60" t="s">
        <v>37</v>
      </c>
      <c r="E71" s="11"/>
      <c r="F71" s="11"/>
      <c r="G71" s="11"/>
      <c r="H71" s="12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4.1" customHeight="1">
      <c r="A72" s="121"/>
      <c r="B72" s="11"/>
      <c r="C72" s="232">
        <v>125</v>
      </c>
      <c r="D72" s="60" t="s">
        <v>38</v>
      </c>
      <c r="E72" s="11"/>
      <c r="F72" s="11"/>
      <c r="G72" s="11"/>
      <c r="H72" s="12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4.1" customHeight="1">
      <c r="A73" s="121"/>
      <c r="B73" s="11"/>
      <c r="C73" s="232">
        <v>75</v>
      </c>
      <c r="D73" s="60" t="s">
        <v>39</v>
      </c>
      <c r="E73" s="11"/>
      <c r="F73" s="11"/>
      <c r="G73" s="11"/>
      <c r="H73" s="12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4.1" customHeight="1">
      <c r="A74" s="121"/>
      <c r="B74" s="11"/>
      <c r="C74" s="232">
        <v>50</v>
      </c>
      <c r="D74" s="60" t="s">
        <v>40</v>
      </c>
      <c r="E74" s="11"/>
      <c r="F74" s="11"/>
      <c r="G74" s="11"/>
      <c r="H74" s="12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4.1" customHeight="1" thickBot="1">
      <c r="A75" s="130"/>
      <c r="B75" s="131"/>
      <c r="C75" s="131"/>
      <c r="D75" s="131"/>
      <c r="E75" s="131"/>
      <c r="F75" s="131"/>
      <c r="G75" s="131"/>
      <c r="H75" s="13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2:44" ht="14.1" customHeight="1" thickBot="1">
      <c r="B76"/>
      <c r="C7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4.1" customHeight="1">
      <c r="A77" s="127" t="s">
        <v>116</v>
      </c>
      <c r="B77" s="100"/>
      <c r="C77" s="100"/>
      <c r="D77" s="100"/>
      <c r="E77" s="100"/>
      <c r="F77" s="100"/>
      <c r="G77" s="100"/>
      <c r="H77" s="10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4.1" customHeight="1">
      <c r="A78" s="128" t="s">
        <v>112</v>
      </c>
      <c r="B78" s="235" t="s">
        <v>169</v>
      </c>
      <c r="C78" s="236"/>
      <c r="D78" s="83"/>
      <c r="E78" s="11"/>
      <c r="F78" s="11"/>
      <c r="G78" s="11"/>
      <c r="H78" s="12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4.1" customHeight="1">
      <c r="A79" s="128" t="s">
        <v>113</v>
      </c>
      <c r="B79" s="11"/>
      <c r="C79" s="233"/>
      <c r="D79" s="60" t="s">
        <v>36</v>
      </c>
      <c r="E79" s="11"/>
      <c r="F79" s="11"/>
      <c r="G79" s="11"/>
      <c r="H79" s="12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4.1" customHeight="1">
      <c r="A80" s="121"/>
      <c r="B80" s="11"/>
      <c r="C80" s="232">
        <v>100</v>
      </c>
      <c r="D80" s="60" t="s">
        <v>37</v>
      </c>
      <c r="E80" s="11"/>
      <c r="F80" s="11"/>
      <c r="G80" s="11"/>
      <c r="H80" s="12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4.1" customHeight="1">
      <c r="A81" s="121"/>
      <c r="B81" s="11"/>
      <c r="C81" s="232">
        <v>200</v>
      </c>
      <c r="D81" s="60" t="s">
        <v>38</v>
      </c>
      <c r="E81" s="11"/>
      <c r="F81" s="11"/>
      <c r="G81" s="11"/>
      <c r="H81" s="12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4.1" customHeight="1">
      <c r="A82" s="121"/>
      <c r="B82" s="11"/>
      <c r="C82" s="232">
        <v>150</v>
      </c>
      <c r="D82" s="60" t="s">
        <v>39</v>
      </c>
      <c r="E82" s="11"/>
      <c r="F82" s="11"/>
      <c r="G82" s="11"/>
      <c r="H82" s="12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4.1" customHeight="1">
      <c r="A83" s="121"/>
      <c r="B83" s="11"/>
      <c r="C83" s="232">
        <v>50</v>
      </c>
      <c r="D83" s="60" t="s">
        <v>40</v>
      </c>
      <c r="E83" s="11"/>
      <c r="F83" s="11"/>
      <c r="G83" s="11"/>
      <c r="H83" s="12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4.1" customHeight="1" thickBot="1">
      <c r="A84" s="130"/>
      <c r="B84" s="131"/>
      <c r="C84" s="131"/>
      <c r="D84" s="131"/>
      <c r="E84" s="131"/>
      <c r="F84" s="131"/>
      <c r="G84" s="131"/>
      <c r="H84" s="13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2:44" ht="14.1" customHeight="1" thickBot="1">
      <c r="B85"/>
      <c r="C8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4.1" customHeight="1">
      <c r="A86" s="127" t="s">
        <v>117</v>
      </c>
      <c r="B86" s="100"/>
      <c r="C86" s="100"/>
      <c r="D86" s="100"/>
      <c r="E86" s="100"/>
      <c r="F86" s="100"/>
      <c r="G86" s="100"/>
      <c r="H86" s="10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4.1" customHeight="1">
      <c r="A87" s="128" t="s">
        <v>112</v>
      </c>
      <c r="B87" s="235" t="s">
        <v>170</v>
      </c>
      <c r="C87" s="236"/>
      <c r="D87" s="83"/>
      <c r="E87" s="11"/>
      <c r="F87" s="11"/>
      <c r="G87" s="11"/>
      <c r="H87" s="12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4.1" customHeight="1">
      <c r="A88" s="128" t="s">
        <v>113</v>
      </c>
      <c r="B88" s="11"/>
      <c r="C88" s="233"/>
      <c r="D88" s="60" t="s">
        <v>36</v>
      </c>
      <c r="E88" s="11"/>
      <c r="F88" s="11"/>
      <c r="G88" s="11"/>
      <c r="H88" s="12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4.1" customHeight="1">
      <c r="A89" s="121"/>
      <c r="B89" s="11"/>
      <c r="C89" s="232">
        <v>250</v>
      </c>
      <c r="D89" s="60" t="s">
        <v>37</v>
      </c>
      <c r="E89" s="11"/>
      <c r="F89" s="11"/>
      <c r="G89" s="11"/>
      <c r="H89" s="12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4.1" customHeight="1">
      <c r="A90" s="121"/>
      <c r="B90" s="11"/>
      <c r="C90" s="232">
        <v>400</v>
      </c>
      <c r="D90" s="60" t="s">
        <v>38</v>
      </c>
      <c r="E90" s="11"/>
      <c r="F90" s="11"/>
      <c r="G90" s="11"/>
      <c r="H90" s="12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4.1" customHeight="1">
      <c r="A91" s="121"/>
      <c r="B91" s="11"/>
      <c r="C91" s="232">
        <v>250</v>
      </c>
      <c r="D91" s="60" t="s">
        <v>39</v>
      </c>
      <c r="E91" s="11"/>
      <c r="F91" s="11"/>
      <c r="G91" s="11"/>
      <c r="H91" s="12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4.1" customHeight="1">
      <c r="A92" s="121"/>
      <c r="B92" s="11"/>
      <c r="C92" s="232">
        <v>100</v>
      </c>
      <c r="D92" s="60" t="s">
        <v>40</v>
      </c>
      <c r="E92" s="11"/>
      <c r="F92" s="11"/>
      <c r="G92" s="11"/>
      <c r="H92" s="12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4.1" customHeight="1" thickBot="1">
      <c r="A93" s="130"/>
      <c r="B93" s="131"/>
      <c r="C93" s="131"/>
      <c r="D93" s="131"/>
      <c r="E93" s="131"/>
      <c r="F93" s="131"/>
      <c r="G93" s="131"/>
      <c r="H93" s="13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2:44" ht="14.1" customHeight="1" thickBot="1">
      <c r="B94"/>
      <c r="C9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4.1" customHeight="1">
      <c r="A95" s="127" t="s">
        <v>118</v>
      </c>
      <c r="B95" s="100"/>
      <c r="C95" s="100"/>
      <c r="D95" s="100"/>
      <c r="E95" s="100"/>
      <c r="F95" s="100"/>
      <c r="G95" s="100"/>
      <c r="H95" s="10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4.1" customHeight="1">
      <c r="A96" s="128" t="s">
        <v>112</v>
      </c>
      <c r="B96" s="235"/>
      <c r="C96" s="236"/>
      <c r="D96" s="83"/>
      <c r="E96" s="11"/>
      <c r="F96" s="11"/>
      <c r="G96" s="11"/>
      <c r="H96" s="12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4.1" customHeight="1">
      <c r="A97" s="128" t="s">
        <v>113</v>
      </c>
      <c r="B97" s="11"/>
      <c r="C97" s="233"/>
      <c r="D97" s="60" t="s">
        <v>36</v>
      </c>
      <c r="E97" s="11"/>
      <c r="F97" s="11"/>
      <c r="G97" s="11"/>
      <c r="H97" s="12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4.1" customHeight="1">
      <c r="A98" s="121"/>
      <c r="B98" s="11"/>
      <c r="C98" s="232"/>
      <c r="D98" s="60" t="s">
        <v>37</v>
      </c>
      <c r="E98" s="11"/>
      <c r="F98" s="11"/>
      <c r="G98" s="11"/>
      <c r="H98" s="12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4.1" customHeight="1">
      <c r="A99" s="121"/>
      <c r="B99" s="11"/>
      <c r="C99" s="232"/>
      <c r="D99" s="60" t="s">
        <v>38</v>
      </c>
      <c r="E99" s="11"/>
      <c r="F99" s="11"/>
      <c r="G99" s="11"/>
      <c r="H99" s="12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4.1" customHeight="1">
      <c r="A100" s="121"/>
      <c r="B100" s="11"/>
      <c r="C100" s="232"/>
      <c r="D100" s="60" t="s">
        <v>39</v>
      </c>
      <c r="E100" s="11"/>
      <c r="F100" s="11"/>
      <c r="G100" s="11"/>
      <c r="H100" s="12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4.1" customHeight="1">
      <c r="A101" s="121"/>
      <c r="B101" s="11"/>
      <c r="C101" s="232"/>
      <c r="D101" s="60" t="s">
        <v>40</v>
      </c>
      <c r="E101" s="11"/>
      <c r="F101" s="11"/>
      <c r="G101" s="11"/>
      <c r="H101" s="12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8" ht="14.1" customHeight="1" thickBot="1">
      <c r="A102" s="130"/>
      <c r="B102" s="131"/>
      <c r="C102" s="131"/>
      <c r="D102" s="131"/>
      <c r="E102" s="131"/>
      <c r="F102" s="131"/>
      <c r="G102" s="131"/>
      <c r="H102" s="132"/>
    </row>
    <row r="103" spans="2:3" ht="14.1" customHeight="1">
      <c r="B103"/>
      <c r="C103"/>
    </row>
    <row r="104" ht="14.1" customHeight="1"/>
    <row r="105" ht="14.1" customHeight="1"/>
    <row r="106" ht="12" customHeight="1"/>
    <row r="107" ht="12" customHeight="1"/>
    <row r="108" ht="12" customHeight="1"/>
    <row r="109" ht="12" customHeight="1"/>
    <row r="110" ht="8.25" customHeight="1"/>
    <row r="111" spans="1:1" ht="12" customHeight="1" hidden="1">
      <c r="A111"/>
    </row>
    <row r="112" spans="1:1" ht="12" customHeight="1" hidden="1">
      <c r="A112"/>
    </row>
    <row r="113" spans="1:1" ht="12" customHeight="1" hidden="1">
      <c r="A113"/>
    </row>
    <row r="114" spans="1:1" ht="12" customHeight="1" hidden="1">
      <c r="A114"/>
    </row>
    <row r="115" spans="1:1" ht="12" customHeight="1" hidden="1">
      <c r="A115"/>
    </row>
    <row r="116" spans="1:1" ht="12" customHeight="1" hidden="1">
      <c r="A116"/>
    </row>
    <row r="117" spans="1:1" ht="12" customHeight="1" hidden="1">
      <c r="A117"/>
    </row>
    <row r="118" spans="1:1" ht="12" customHeight="1" hidden="1">
      <c r="A118"/>
    </row>
    <row r="119" spans="1:1" ht="12" customHeight="1" hidden="1">
      <c r="A119"/>
    </row>
    <row r="120" spans="1:1" ht="12" customHeight="1" hidden="1">
      <c r="A120"/>
    </row>
    <row r="121" spans="1:1" ht="12" customHeight="1" hidden="1">
      <c r="A121"/>
    </row>
    <row r="122" spans="1:1" ht="12" customHeight="1" hidden="1">
      <c r="A122"/>
    </row>
    <row r="123" spans="1:1" ht="12" customHeight="1" hidden="1">
      <c r="A123"/>
    </row>
    <row r="124" spans="1:1" ht="3.75" customHeight="1" hidden="1">
      <c r="A124"/>
    </row>
    <row r="125" spans="1:1" ht="12" customHeight="1" hidden="1">
      <c r="A125"/>
    </row>
    <row r="126" spans="1:1" ht="12" customHeight="1" hidden="1">
      <c r="A126"/>
    </row>
    <row r="127" spans="1:1" ht="12" customHeight="1" hidden="1">
      <c r="A127"/>
    </row>
    <row r="128" spans="1:1" ht="12" customHeight="1" hidden="1">
      <c r="A128"/>
    </row>
    <row r="129" spans="1:1" ht="12" customHeight="1" hidden="1">
      <c r="A129"/>
    </row>
    <row r="130" spans="1:1" ht="12" customHeight="1" hidden="1">
      <c r="A130"/>
    </row>
    <row r="131" spans="1:1" ht="12" customHeight="1" hidden="1">
      <c r="A131"/>
    </row>
    <row r="132" spans="1:1" ht="12" customHeight="1" hidden="1">
      <c r="A132"/>
    </row>
    <row r="133" spans="1:1" ht="12" customHeight="1" hidden="1">
      <c r="A133"/>
    </row>
    <row r="134" spans="1:1" ht="12" customHeight="1" hidden="1">
      <c r="A134"/>
    </row>
    <row r="135" spans="1:1" ht="12" customHeight="1" hidden="1">
      <c r="A135"/>
    </row>
    <row r="136" spans="1:1" ht="12" customHeight="1" hidden="1">
      <c r="A136"/>
    </row>
    <row r="137" spans="1:1" ht="12" customHeight="1" hidden="1">
      <c r="A137"/>
    </row>
    <row r="138" spans="1:1" ht="12" customHeight="1" hidden="1">
      <c r="A138"/>
    </row>
    <row r="139" spans="1:1" ht="12" customHeight="1" hidden="1">
      <c r="A139"/>
    </row>
    <row r="140" spans="1:1" ht="12" customHeight="1" hidden="1">
      <c r="A140"/>
    </row>
    <row r="141" spans="1:1" ht="12" customHeight="1" hidden="1">
      <c r="A141"/>
    </row>
    <row r="142" spans="1:1" ht="12" customHeight="1" hidden="1">
      <c r="A142"/>
    </row>
    <row r="143" spans="1:1" ht="12" customHeight="1" hidden="1">
      <c r="A143"/>
    </row>
    <row r="144" spans="1:1" ht="12" customHeight="1" hidden="1">
      <c r="A144"/>
    </row>
    <row r="145" spans="1:1" ht="12.95" customHeight="1" hidden="1">
      <c r="A145"/>
    </row>
    <row r="146" spans="1:1" ht="9" customHeight="1" hidden="1">
      <c r="A146"/>
    </row>
    <row r="147" spans="1:1" ht="12.75" customHeight="1" hidden="1">
      <c r="A147"/>
    </row>
    <row r="148" spans="1:1" ht="12.95" customHeight="1" hidden="1">
      <c r="A148"/>
    </row>
    <row r="149" spans="1:1" ht="12.95" customHeight="1" hidden="1">
      <c r="A149"/>
    </row>
    <row r="150" spans="1:1" ht="12.95" customHeight="1" hidden="1">
      <c r="A150"/>
    </row>
    <row r="151" spans="1:1" ht="12.75" customHeight="1" hidden="1">
      <c r="A151"/>
    </row>
    <row r="152" spans="1:1" ht="12.95" customHeight="1" hidden="1">
      <c r="A152"/>
    </row>
    <row r="153" spans="1:1" ht="12.95" customHeight="1" hidden="1">
      <c r="A153"/>
    </row>
    <row r="154" spans="1:1" ht="12.95" customHeight="1" hidden="1">
      <c r="A154"/>
    </row>
    <row r="155" spans="1:1" ht="12.95" customHeight="1" hidden="1">
      <c r="A155"/>
    </row>
    <row r="156" spans="1:1" ht="12.75" customHeight="1" hidden="1">
      <c r="A156"/>
    </row>
    <row r="157" spans="1:1" ht="12.95" customHeight="1" hidden="1">
      <c r="A157"/>
    </row>
    <row r="158" spans="1:1" ht="12.95" customHeight="1" hidden="1">
      <c r="A158"/>
    </row>
    <row r="159" spans="1:1" ht="12.95" customHeight="1" hidden="1">
      <c r="A159"/>
    </row>
    <row r="160" spans="1:1" ht="12.95" customHeight="1" hidden="1">
      <c r="A160"/>
    </row>
    <row r="161" spans="1:1" ht="12.75" customHeight="1" hidden="1">
      <c r="A161"/>
    </row>
    <row r="162" spans="1:1" ht="12.75" customHeight="1" hidden="1">
      <c r="A162"/>
    </row>
    <row r="163" spans="1:1" ht="12.75" customHeight="1" hidden="1">
      <c r="A163"/>
    </row>
    <row r="164" spans="1:1" ht="6.75" customHeight="1" hidden="1">
      <c r="A164"/>
    </row>
    <row r="165" spans="1:1" ht="12.95" customHeight="1" hidden="1">
      <c r="A165"/>
    </row>
    <row r="166" spans="1:1" ht="12.75" customHeight="1" hidden="1">
      <c r="A166"/>
    </row>
    <row r="167" spans="1:1" ht="12.95" customHeight="1" hidden="1">
      <c r="A167"/>
    </row>
    <row r="168" spans="1:1" ht="12.75" customHeight="1" hidden="1">
      <c r="A168"/>
    </row>
    <row r="169" spans="5:5" ht="12.75" customHeight="1" hidden="1">
      <c r="E169" s="190"/>
    </row>
    <row r="170" spans="1:1" ht="12.75" customHeight="1" hidden="1">
      <c r="A170"/>
    </row>
    <row r="171" spans="1:8" ht="12.95" customHeight="1">
      <c r="A171" s="188"/>
      <c r="B171" s="188"/>
      <c r="C171" s="188"/>
      <c r="D171" s="188"/>
      <c r="E171" s="188"/>
      <c r="F171" s="188"/>
      <c r="G171" s="188"/>
      <c r="H171" s="188"/>
    </row>
    <row r="172" spans="1:8" ht="12.95" customHeight="1">
      <c r="A172" s="189" t="s">
        <v>152</v>
      </c>
      <c r="B172" s="188"/>
      <c r="C172" s="188"/>
      <c r="D172" s="188"/>
      <c r="E172" s="188"/>
      <c r="F172" s="188"/>
      <c r="G172" s="188"/>
      <c r="H172" s="188"/>
    </row>
    <row r="173" spans="9:9" ht="12.95" customHeight="1" thickBot="1">
      <c r="I173" s="12"/>
    </row>
    <row r="174" spans="1:9" ht="12.95" customHeight="1">
      <c r="A174" s="102" t="s">
        <v>143</v>
      </c>
      <c r="B174" s="118"/>
      <c r="C174" s="118"/>
      <c r="D174" s="191"/>
      <c r="E174" s="191"/>
      <c r="F174" s="191"/>
      <c r="G174" s="192"/>
      <c r="I174" s="94"/>
    </row>
    <row r="175" spans="1:9" ht="12.95" customHeight="1">
      <c r="A175" s="180" t="s">
        <v>145</v>
      </c>
      <c r="B175" s="8"/>
      <c r="C175" s="8"/>
      <c r="D175" s="186">
        <v>1340088</v>
      </c>
      <c r="E175" s="278">
        <v>1340088</v>
      </c>
      <c r="F175" s="197">
        <v>1340088</v>
      </c>
      <c r="G175" s="285">
        <v>1573844</v>
      </c>
      <c r="I175" s="94"/>
    </row>
    <row r="176" spans="1:9" ht="12.95" customHeight="1" thickBot="1">
      <c r="A176" s="181" t="s">
        <v>144</v>
      </c>
      <c r="B176" s="116"/>
      <c r="C176" s="116"/>
      <c r="D176" s="193">
        <v>1300000</v>
      </c>
      <c r="E176" s="288">
        <v>1300000</v>
      </c>
      <c r="F176" s="287">
        <v>1300000</v>
      </c>
      <c r="G176" s="286">
        <v>1300000</v>
      </c>
      <c r="I176" s="94"/>
    </row>
    <row r="177" spans="9:9" ht="12.95" customHeight="1">
      <c r="I177" s="12"/>
    </row>
    <row r="178" spans="9:9">
      <c r="I178" s="12"/>
    </row>
    <row r="179" ht="15.75" thickBot="1"/>
    <row r="180" spans="1:4">
      <c r="A180" s="99" t="s">
        <v>148</v>
      </c>
      <c r="B180" s="141"/>
      <c r="C180" s="141"/>
      <c r="D180" s="211">
        <f>A160</f>
        <v>0</v>
      </c>
    </row>
    <row r="181" spans="1:8">
      <c r="A181" s="150" t="s">
        <v>149</v>
      </c>
      <c r="B181" s="148"/>
      <c r="C181" s="148"/>
      <c r="D181" s="194"/>
      <c r="H181" s="190"/>
    </row>
    <row r="182" spans="1:8">
      <c r="A182" s="180" t="s">
        <v>144</v>
      </c>
      <c r="B182" s="8"/>
      <c r="C182" s="8"/>
      <c r="D182" s="212">
        <v>200000</v>
      </c>
      <c r="H182" s="190"/>
    </row>
    <row r="183" spans="1:8">
      <c r="A183" s="180" t="s">
        <v>145</v>
      </c>
      <c r="B183" s="8"/>
      <c r="C183" s="8"/>
      <c r="D183" s="212">
        <v>200000</v>
      </c>
      <c r="H183" s="190"/>
    </row>
    <row r="184" spans="1:8">
      <c r="A184" s="150" t="s">
        <v>150</v>
      </c>
      <c r="B184" s="148"/>
      <c r="C184" s="148"/>
      <c r="D184" s="194"/>
      <c r="H184" s="190"/>
    </row>
    <row r="185" spans="1:8">
      <c r="A185" s="180"/>
      <c r="B185" s="8"/>
      <c r="C185" s="8"/>
      <c r="D185" s="195"/>
      <c r="H185" s="190"/>
    </row>
    <row r="186" spans="1:8" ht="3.75" customHeight="1">
      <c r="A186" s="180"/>
      <c r="B186" s="8"/>
      <c r="C186" s="8"/>
      <c r="D186" s="195"/>
      <c r="H186" s="190"/>
    </row>
    <row r="187" spans="1:8" hidden="1">
      <c r="A187" s="209"/>
      <c r="B187" s="8"/>
      <c r="C187" s="8"/>
      <c r="D187" s="210"/>
      <c r="H187" s="190"/>
    </row>
    <row r="188" spans="1:4" hidden="1">
      <c r="A188" s="180"/>
      <c r="B188" s="8"/>
      <c r="C188" s="8"/>
      <c r="D188" s="195"/>
    </row>
    <row r="189" spans="1:4" hidden="1">
      <c r="A189" s="180"/>
      <c r="B189" s="8"/>
      <c r="C189" s="8"/>
      <c r="D189" s="195"/>
    </row>
    <row r="190" spans="1:4" hidden="1">
      <c r="A190" s="209"/>
      <c r="B190" s="8"/>
      <c r="C190" s="8"/>
      <c r="D190" s="210"/>
    </row>
    <row r="191" spans="1:4" ht="10.5" customHeight="1" hidden="1">
      <c r="A191" s="180"/>
      <c r="B191" s="8"/>
      <c r="C191" s="8"/>
      <c r="D191" s="195"/>
    </row>
    <row r="192" spans="1:4" hidden="1">
      <c r="A192" s="180"/>
      <c r="B192" s="8"/>
      <c r="C192" s="8"/>
      <c r="D192" s="195"/>
    </row>
    <row r="193" spans="1:4" hidden="1">
      <c r="A193" s="209"/>
      <c r="B193" s="8"/>
      <c r="C193" s="8"/>
      <c r="D193" s="210"/>
    </row>
    <row r="194" spans="1:4" hidden="1">
      <c r="A194" s="180"/>
      <c r="B194" s="8"/>
      <c r="C194" s="8"/>
      <c r="D194" s="195"/>
    </row>
    <row r="195" spans="1:4" hidden="1">
      <c r="A195" s="180"/>
      <c r="B195" s="8"/>
      <c r="C195" s="8"/>
      <c r="D195" s="195"/>
    </row>
    <row r="196" spans="1:4" hidden="1">
      <c r="A196" s="209"/>
      <c r="B196" s="8"/>
      <c r="C196" s="8"/>
      <c r="D196" s="210"/>
    </row>
    <row r="197" spans="1:4" hidden="1">
      <c r="A197" s="180"/>
      <c r="B197" s="8"/>
      <c r="C197" s="8"/>
      <c r="D197" s="195"/>
    </row>
    <row r="198" spans="1:4" hidden="1">
      <c r="A198" s="180"/>
      <c r="B198" s="8"/>
      <c r="C198" s="8"/>
      <c r="D198" s="195"/>
    </row>
    <row r="199" spans="1:4" hidden="1">
      <c r="A199" s="209"/>
      <c r="B199" s="8"/>
      <c r="C199" s="8"/>
      <c r="D199" s="210"/>
    </row>
    <row r="200" spans="1:4" hidden="1">
      <c r="A200" s="180"/>
      <c r="B200" s="8"/>
      <c r="C200" s="8"/>
      <c r="D200" s="195"/>
    </row>
    <row r="201" spans="1:4" hidden="1">
      <c r="A201" s="180"/>
      <c r="B201" s="8"/>
      <c r="C201" s="8"/>
      <c r="D201" s="195"/>
    </row>
    <row r="202" spans="1:4" hidden="1">
      <c r="A202" s="209"/>
      <c r="B202" s="8"/>
      <c r="C202" s="8"/>
      <c r="D202" s="210"/>
    </row>
    <row r="203" spans="1:4" hidden="1">
      <c r="A203" s="180"/>
      <c r="B203" s="8"/>
      <c r="C203" s="8"/>
      <c r="D203" s="195"/>
    </row>
    <row r="204" spans="1:4" hidden="1">
      <c r="A204" s="180"/>
      <c r="B204" s="8"/>
      <c r="C204" s="8"/>
      <c r="D204" s="195"/>
    </row>
    <row r="205" spans="1:4">
      <c r="A205" s="150" t="s">
        <v>151</v>
      </c>
      <c r="B205" s="148"/>
      <c r="C205" s="148"/>
      <c r="D205" s="194"/>
    </row>
    <row r="206" spans="1:4">
      <c r="A206" s="180" t="s">
        <v>144</v>
      </c>
      <c r="B206" s="8"/>
      <c r="C206" s="8"/>
      <c r="D206" s="212">
        <v>16000</v>
      </c>
    </row>
    <row r="207" spans="1:4" ht="15.75" thickBot="1">
      <c r="A207" s="213"/>
      <c r="B207" s="116"/>
      <c r="C207" s="116"/>
      <c r="D207" s="196"/>
    </row>
    <row r="209" ht="15.75" thickBot="1"/>
    <row r="210" spans="1:4">
      <c r="A210" s="99" t="s">
        <v>153</v>
      </c>
      <c r="B210" s="100"/>
      <c r="C210" s="100"/>
      <c r="D210" s="101"/>
    </row>
    <row r="211" spans="1:4" ht="15.75" thickBot="1">
      <c r="A211" s="130" t="s">
        <v>154</v>
      </c>
      <c r="B211" s="131"/>
      <c r="C211" s="131"/>
      <c r="D211" s="223"/>
    </row>
  </sheetData>
  <mergeCells count="3">
    <mergeCell ref="A7:D8"/>
    <mergeCell ref="D2:H4"/>
    <mergeCell ref="A56:F57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3073" r:id="rId4">
          <objectPr defaultSize="0" r:id="rId5">
            <anchor moveWithCells="1" sizeWithCells="1">
              <from>
                <xdr:col>0</xdr:col>
                <xdr:colOff>56834</xdr:colOff>
                <xdr:row>0</xdr:row>
                <xdr:rowOff>85725</xdr:rowOff>
              </from>
              <to>
                <xdr:col>2</xdr:col>
                <xdr:colOff>143191</xdr:colOff>
                <xdr:row>4</xdr:row>
                <xdr:rowOff>95250</xdr:rowOff>
              </to>
            </anchor>
          </objectPr>
        </oleObject>
      </mc:Choice>
      <mc:Fallback>
        <oleObject progId="WordPad.Document.1" shapeId="3073" r:id="rId4"/>
      </mc:Fallback>
    </mc:AlternateContent>
  </oleObjec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196"/>
  <sheetViews>
    <sheetView topLeftCell="A41" zoomScale="60" view="normal" workbookViewId="0">
      <selection pane="topLeft" activeCell="L60" sqref="L60"/>
    </sheetView>
  </sheetViews>
  <sheetFormatPr defaultRowHeight="15"/>
  <cols>
    <col min="1" max="1" width="13.00390625" customWidth="1"/>
    <col min="2" max="2" width="3.00390625" customWidth="1"/>
    <col min="3" max="3" width="7.00390625" customWidth="1"/>
    <col min="4" max="8" width="10.75390625" customWidth="1"/>
  </cols>
  <sheetData>
    <row r="1" spans="1:9">
      <c r="A1" s="95"/>
      <c r="B1" s="100"/>
      <c r="C1" s="100"/>
      <c r="D1" s="298" t="s">
        <v>127</v>
      </c>
      <c r="E1" s="298"/>
      <c r="F1" s="298"/>
      <c r="G1" s="298"/>
      <c r="H1" s="298"/>
      <c r="I1" s="299"/>
    </row>
    <row r="2" spans="1:9">
      <c r="A2" s="96"/>
      <c r="B2" s="149"/>
      <c r="C2" s="149"/>
      <c r="D2" s="300"/>
      <c r="E2" s="300"/>
      <c r="F2" s="300"/>
      <c r="G2" s="300"/>
      <c r="H2" s="300"/>
      <c r="I2" s="301"/>
    </row>
    <row r="3" spans="1:9" ht="15.75" thickBot="1">
      <c r="A3" s="96"/>
      <c r="B3" s="149"/>
      <c r="C3" s="149"/>
      <c r="D3" s="300"/>
      <c r="E3" s="300"/>
      <c r="F3" s="300"/>
      <c r="G3" s="300"/>
      <c r="H3" s="300"/>
      <c r="I3" s="301"/>
    </row>
    <row r="4" spans="1:9">
      <c r="A4" s="160" t="s">
        <v>132</v>
      </c>
      <c r="B4" s="159"/>
      <c r="C4" s="159"/>
      <c r="D4" s="165">
        <v>0.5</v>
      </c>
      <c r="E4" s="173" t="s">
        <v>128</v>
      </c>
      <c r="F4" s="173" t="s">
        <v>129</v>
      </c>
      <c r="G4" s="173" t="s">
        <v>130</v>
      </c>
      <c r="H4" s="173" t="s">
        <v>43</v>
      </c>
      <c r="I4" s="174" t="s">
        <v>131</v>
      </c>
    </row>
    <row r="5" spans="1:9" customHeight="1">
      <c r="A5" s="128" t="s">
        <v>134</v>
      </c>
      <c r="B5" s="158"/>
      <c r="C5" s="158"/>
      <c r="D5" s="157"/>
      <c r="E5" s="175">
        <v>100</v>
      </c>
      <c r="F5" s="175">
        <v>40</v>
      </c>
      <c r="G5" s="175">
        <v>35</v>
      </c>
      <c r="H5" s="175">
        <v>25</v>
      </c>
      <c r="I5" s="175">
        <v>20</v>
      </c>
    </row>
    <row r="6" spans="1:9" customHeight="1" thickBot="1">
      <c r="A6" s="128"/>
      <c r="B6" s="158"/>
      <c r="C6" s="158"/>
      <c r="D6" s="157"/>
      <c r="E6" s="170"/>
      <c r="F6" s="171"/>
      <c r="G6" s="171"/>
      <c r="H6" s="171"/>
      <c r="I6" s="172"/>
    </row>
    <row r="7" spans="1:9" ht="15.75" thickBot="1">
      <c r="A7" s="166"/>
      <c r="B7" s="167"/>
      <c r="C7" s="167"/>
      <c r="D7" s="167"/>
      <c r="E7" s="167"/>
      <c r="F7" s="167"/>
      <c r="G7" s="167"/>
      <c r="H7" s="167"/>
      <c r="I7" s="168"/>
    </row>
    <row r="8" spans="1:11">
      <c r="A8" s="127" t="s">
        <v>73</v>
      </c>
      <c r="B8" s="135"/>
      <c r="C8" s="135"/>
      <c r="D8" s="135"/>
      <c r="E8" s="135"/>
      <c r="F8" s="135"/>
      <c r="G8" s="135"/>
      <c r="H8" s="135"/>
      <c r="I8" s="136"/>
      <c r="K8" s="9"/>
    </row>
    <row r="9" spans="1:11">
      <c r="A9" s="128"/>
      <c r="B9" s="8"/>
      <c r="C9" s="8"/>
      <c r="D9" s="124" t="s">
        <v>60</v>
      </c>
      <c r="E9" s="124" t="s">
        <v>30</v>
      </c>
      <c r="F9" s="124" t="s">
        <v>61</v>
      </c>
      <c r="G9" s="124" t="s">
        <v>62</v>
      </c>
      <c r="H9" s="124"/>
      <c r="I9" s="120"/>
      <c r="K9" s="9"/>
    </row>
    <row r="10" spans="1:11">
      <c r="A10" s="128" t="s">
        <v>139</v>
      </c>
      <c r="B10" s="8"/>
      <c r="C10" s="8"/>
      <c r="D10" s="176">
        <f>($D$133*10000/$E$5)+(((D49/$E$5)-($D$133*10000/$E$5))*$D$4)</f>
        <v>6312.95</v>
      </c>
      <c r="E10" s="163">
        <f>($D$133*10000/$E$5)+(((E49/$E$5)-($D$133*10000/$E$5))*$D$4)</f>
        <v>6312.95</v>
      </c>
      <c r="F10" s="177">
        <f>($D$133*10000/$E$5)+(((F49/$E$5)-($D$133*10000/$E$5))*$D$4)</f>
        <v>6312.95</v>
      </c>
      <c r="G10" s="279">
        <f>($D$133*10000/$E$5)+(((G49/$E$5)-($D$133*10000/$E$5))*$D$4)</f>
        <v>7481.735</v>
      </c>
      <c r="H10" s="177"/>
      <c r="I10" s="120"/>
      <c r="K10" s="9"/>
    </row>
    <row r="11" spans="1:11">
      <c r="A11" s="128"/>
      <c r="B11" s="8"/>
      <c r="C11" s="8"/>
      <c r="D11" s="182"/>
      <c r="E11" s="182"/>
      <c r="F11" s="182"/>
      <c r="G11" s="182"/>
      <c r="H11" s="182"/>
      <c r="I11" s="120"/>
      <c r="K11" s="9"/>
    </row>
    <row r="12" spans="1:11">
      <c r="A12" s="128" t="s">
        <v>140</v>
      </c>
      <c r="B12" s="8"/>
      <c r="C12" s="8"/>
      <c r="D12" s="176">
        <f>($D$59*10000/$E$5)+(((D49/$E$5)-($D$59*10000/$E$5))*$D$4)</f>
        <v>7232.95</v>
      </c>
      <c r="E12" s="163">
        <f>($D$59*10000/$E$5)+(((E49/$E$5)-($D$59*10000/$E$5))*$D$4)</f>
        <v>7232.95</v>
      </c>
      <c r="F12" s="177">
        <f>($D$59*10000/$E$5)+(((F49/$E$5)-($D$59*10000/$E$5))*$D$4)</f>
        <v>7232.95</v>
      </c>
      <c r="G12" s="279">
        <f>($D$59*10000/$E$5)+(((G49/$E$5)-($D$59*10000/$E$5))*$D$4)</f>
        <v>8401.735</v>
      </c>
      <c r="H12" s="177"/>
      <c r="I12" s="120"/>
      <c r="K12" s="9"/>
    </row>
    <row r="13" spans="1:11">
      <c r="A13" s="128"/>
      <c r="B13" s="8"/>
      <c r="C13" s="8"/>
      <c r="D13" s="182"/>
      <c r="E13" s="182"/>
      <c r="F13" s="182"/>
      <c r="G13" s="182"/>
      <c r="H13" s="182"/>
      <c r="I13" s="120"/>
      <c r="K13" s="12"/>
    </row>
    <row r="14" spans="1:9">
      <c r="A14" s="128" t="s">
        <v>146</v>
      </c>
      <c r="B14" s="8"/>
      <c r="C14" s="8"/>
      <c r="D14" s="176">
        <f>D50/$E$5</f>
        <v>13000</v>
      </c>
      <c r="E14" s="163">
        <f>E50/$E$5</f>
        <v>13000</v>
      </c>
      <c r="F14" s="177">
        <f>F50/$E$5</f>
        <v>13000</v>
      </c>
      <c r="G14" s="279">
        <f>G50/$E$5</f>
        <v>18000</v>
      </c>
      <c r="H14" s="177"/>
      <c r="I14" s="120"/>
    </row>
    <row r="15" spans="1:9">
      <c r="A15" s="128"/>
      <c r="B15" s="8"/>
      <c r="C15" s="8"/>
      <c r="D15" s="182"/>
      <c r="E15" s="182"/>
      <c r="F15" s="182"/>
      <c r="G15" s="182"/>
      <c r="H15" s="182"/>
      <c r="I15" s="120"/>
    </row>
    <row r="16" spans="1:9">
      <c r="A16" s="150" t="s">
        <v>72</v>
      </c>
      <c r="B16" s="151"/>
      <c r="C16" s="151"/>
      <c r="D16" s="183"/>
      <c r="E16" s="183"/>
      <c r="F16" s="183"/>
      <c r="G16" s="183"/>
      <c r="H16" s="183"/>
      <c r="I16" s="152"/>
    </row>
    <row r="17" spans="1:9">
      <c r="A17" s="128"/>
      <c r="B17" s="8"/>
      <c r="C17" s="8"/>
      <c r="D17" s="187" t="s">
        <v>60</v>
      </c>
      <c r="E17" s="187" t="s">
        <v>30</v>
      </c>
      <c r="F17" s="187" t="s">
        <v>61</v>
      </c>
      <c r="G17" s="187" t="s">
        <v>62</v>
      </c>
      <c r="H17" s="187"/>
      <c r="I17" s="120"/>
    </row>
    <row r="18" spans="1:9">
      <c r="A18" s="128" t="s">
        <v>139</v>
      </c>
      <c r="B18" s="8"/>
      <c r="C18" s="8"/>
      <c r="D18" s="176">
        <f>($D$133*10000/$F$5)+(((D49/$F$5)-($D$133*10000/$F$5))*$D$4)</f>
        <v>15782.375</v>
      </c>
      <c r="E18" s="163">
        <f>($D$133*10000/$F$5)+(((E49/$F$5)-($D$133*10000/$F$5))*$D$4)</f>
        <v>15782.375</v>
      </c>
      <c r="F18" s="177">
        <f>($D$133*10000/$F$5)+(((F49/$F$5)-($D$133*10000/$F$5))*$D$4)</f>
        <v>15782.375</v>
      </c>
      <c r="G18" s="279">
        <f>($D$133*10000/$F$5)+(((G49/$F$5)-($D$133*10000/$F$5))*$D$4)</f>
        <v>18704.3375</v>
      </c>
      <c r="H18" s="177"/>
      <c r="I18" s="120"/>
    </row>
    <row r="19" spans="1:9">
      <c r="A19" s="128"/>
      <c r="B19" s="8"/>
      <c r="C19" s="8"/>
      <c r="D19" s="182"/>
      <c r="E19" s="182"/>
      <c r="F19" s="182"/>
      <c r="G19" s="182"/>
      <c r="H19" s="182"/>
      <c r="I19" s="120"/>
    </row>
    <row r="20" spans="1:9">
      <c r="A20" s="128" t="s">
        <v>140</v>
      </c>
      <c r="B20" s="8"/>
      <c r="C20" s="8"/>
      <c r="D20" s="176">
        <f>($D$59*10000/$F$5)+(((D49/$F$5)-($D$59*10000/$F$5))*$D$4)</f>
        <v>18082.375</v>
      </c>
      <c r="E20" s="163">
        <f>($D$59*10000/$F$5)+(((E49/$F$5)-($D$59*10000/$F$5))*$D$4)</f>
        <v>18082.375</v>
      </c>
      <c r="F20" s="177">
        <f>($D$59*10000/$F$5)+(((F49/$F$5)-($D$59*10000/$F$5))*$D$4)</f>
        <v>18082.375</v>
      </c>
      <c r="G20" s="279">
        <f>($D$59*10000/$F$5)+(((G49/$F$5)-($D$59*10000/$F$5))*$D$4)</f>
        <v>21004.3375</v>
      </c>
      <c r="H20" s="177"/>
      <c r="I20" s="120"/>
    </row>
    <row r="21" spans="1:9">
      <c r="A21" s="128"/>
      <c r="B21" s="8"/>
      <c r="C21" s="8"/>
      <c r="D21" s="182"/>
      <c r="E21" s="182"/>
      <c r="F21" s="182"/>
      <c r="G21" s="182"/>
      <c r="H21" s="182"/>
      <c r="I21" s="120"/>
    </row>
    <row r="22" spans="1:9">
      <c r="A22" s="128" t="s">
        <v>146</v>
      </c>
      <c r="B22" s="8"/>
      <c r="C22" s="8"/>
      <c r="D22" s="176">
        <f>D50/$F$5</f>
        <v>32500</v>
      </c>
      <c r="E22" s="163">
        <f>E50/$F$5</f>
        <v>32500</v>
      </c>
      <c r="F22" s="177">
        <f>F50/$F$5</f>
        <v>32500</v>
      </c>
      <c r="G22" s="279">
        <f>G50/$F$5</f>
        <v>45000</v>
      </c>
      <c r="H22" s="177"/>
      <c r="I22" s="120"/>
    </row>
    <row r="23" spans="1:9">
      <c r="A23" s="128"/>
      <c r="B23" s="8"/>
      <c r="C23" s="8"/>
      <c r="D23" s="182"/>
      <c r="E23" s="182"/>
      <c r="F23" s="182"/>
      <c r="G23" s="182"/>
      <c r="H23" s="182"/>
      <c r="I23" s="120"/>
    </row>
    <row r="24" spans="1:9">
      <c r="A24" s="150" t="s">
        <v>71</v>
      </c>
      <c r="B24" s="151"/>
      <c r="C24" s="151"/>
      <c r="D24" s="183"/>
      <c r="E24" s="183"/>
      <c r="F24" s="183"/>
      <c r="G24" s="183"/>
      <c r="H24" s="183"/>
      <c r="I24" s="152"/>
    </row>
    <row r="25" spans="1:9">
      <c r="A25" s="128"/>
      <c r="B25" s="8"/>
      <c r="C25" s="8"/>
      <c r="D25" s="187" t="s">
        <v>60</v>
      </c>
      <c r="E25" s="187" t="s">
        <v>30</v>
      </c>
      <c r="F25" s="187" t="s">
        <v>61</v>
      </c>
      <c r="G25" s="187" t="s">
        <v>62</v>
      </c>
      <c r="H25" s="187"/>
      <c r="I25" s="120"/>
    </row>
    <row r="26" spans="1:9">
      <c r="A26" s="128" t="s">
        <v>139</v>
      </c>
      <c r="B26" s="8"/>
      <c r="C26" s="8"/>
      <c r="D26" s="176">
        <f>(D133*10000/$G$5)+(((D49/$G$5)-(D133*10000/$G$5))*$D$4)</f>
        <v>18037.000000000004</v>
      </c>
      <c r="E26" s="163">
        <f>(E133*10000/$G$5)+(((E49/$G$5)-(E133*10000/$G$5))*$D$4)</f>
        <v>17808.428571428572</v>
      </c>
      <c r="F26" s="177">
        <f>(F133*10000/$G$5)+(((F49/$G$5)-(F133*10000/$G$5))*$D$4)</f>
        <v>17808.428571428572</v>
      </c>
      <c r="G26" s="279">
        <f>(G133*10000/$G$5)+(((G49/$G$5)-(G133*10000/$G$5))*$D$4)</f>
        <v>21147.814285714285</v>
      </c>
      <c r="H26" s="177"/>
      <c r="I26" s="120"/>
    </row>
    <row r="27" spans="1:9">
      <c r="A27" s="128"/>
      <c r="B27" s="8"/>
      <c r="C27" s="8"/>
      <c r="D27" s="182"/>
      <c r="E27" s="182"/>
      <c r="F27" s="182"/>
      <c r="G27" s="182"/>
      <c r="H27" s="182"/>
      <c r="I27" s="120"/>
    </row>
    <row r="28" spans="1:9">
      <c r="A28" s="128" t="s">
        <v>140</v>
      </c>
      <c r="B28" s="8"/>
      <c r="C28" s="8"/>
      <c r="D28" s="176">
        <f>($D$59*10000/$G$5)+(((D49/$G$5)-($D$59*10000/$G$5))*$D$4)</f>
        <v>20665.571428571431</v>
      </c>
      <c r="E28" s="163">
        <f>($D$59*10000/$G$5)+(((E49/$G$5)-($D$59*10000/$G$5))*$D$4)</f>
        <v>20665.571428571431</v>
      </c>
      <c r="F28" s="177">
        <f>($D$59*10000/$G$5)+(((F49/$G$5)-($D$59*10000/$G$5))*$D$4)</f>
        <v>20665.571428571431</v>
      </c>
      <c r="G28" s="279">
        <f>($D$59*10000/$G$5)+(((G49/$G$5)-($D$59*10000/$G$5))*$D$4)</f>
        <v>24004.95714285714</v>
      </c>
      <c r="H28" s="177"/>
      <c r="I28" s="120"/>
    </row>
    <row r="29" spans="1:9">
      <c r="A29" s="128"/>
      <c r="B29" s="8"/>
      <c r="C29" s="8"/>
      <c r="D29" s="182"/>
      <c r="E29" s="182"/>
      <c r="F29" s="182"/>
      <c r="G29" s="182"/>
      <c r="H29" s="182"/>
      <c r="I29" s="120"/>
    </row>
    <row r="30" spans="1:9">
      <c r="A30" s="128" t="s">
        <v>146</v>
      </c>
      <c r="B30" s="8"/>
      <c r="C30" s="8"/>
      <c r="D30" s="176">
        <f>D50/$G$5</f>
        <v>37142.857142857145</v>
      </c>
      <c r="E30" s="163">
        <f>E50/$G$5</f>
        <v>37142.857142857145</v>
      </c>
      <c r="F30" s="177">
        <f>F50/$G$5</f>
        <v>37142.857142857145</v>
      </c>
      <c r="G30" s="279">
        <f>G50/$G$5</f>
        <v>51428.571428571428</v>
      </c>
      <c r="H30" s="177"/>
      <c r="I30" s="120"/>
    </row>
    <row r="31" spans="1:9">
      <c r="A31" s="128"/>
      <c r="B31" s="8"/>
      <c r="C31" s="8"/>
      <c r="D31" s="182"/>
      <c r="E31" s="182"/>
      <c r="F31" s="182"/>
      <c r="G31" s="182"/>
      <c r="H31" s="182"/>
      <c r="I31" s="120"/>
    </row>
    <row r="32" spans="1:9">
      <c r="A32" s="150" t="s">
        <v>70</v>
      </c>
      <c r="B32" s="151"/>
      <c r="C32" s="151"/>
      <c r="D32" s="183"/>
      <c r="E32" s="183"/>
      <c r="F32" s="183"/>
      <c r="G32" s="183"/>
      <c r="H32" s="183"/>
      <c r="I32" s="152"/>
    </row>
    <row r="33" spans="1:9">
      <c r="A33" s="128"/>
      <c r="B33" s="8"/>
      <c r="C33" s="8"/>
      <c r="D33" s="187" t="s">
        <v>60</v>
      </c>
      <c r="E33" s="187" t="s">
        <v>30</v>
      </c>
      <c r="F33" s="187" t="s">
        <v>61</v>
      </c>
      <c r="G33" s="187" t="s">
        <v>62</v>
      </c>
      <c r="H33" s="187"/>
      <c r="I33" s="120"/>
    </row>
    <row r="34" spans="1:9">
      <c r="A34" s="128" t="s">
        <v>139</v>
      </c>
      <c r="B34" s="8"/>
      <c r="C34" s="8"/>
      <c r="D34" s="176">
        <f>(D133*10000/$H$5)+(((D49/$H$5)-(D133*10000/$H$5))*$D$4)</f>
        <v>25251.8</v>
      </c>
      <c r="E34" s="163">
        <f>(E133*10000/$H$5)+(((E49/$H$5)-(E133*10000/$H$5))*$D$4)</f>
        <v>24931.8</v>
      </c>
      <c r="F34" s="177">
        <f>(F133*10000/$H$5)+(((F49/$H$5)-(F133*10000/$H$5))*$D$4)</f>
        <v>24931.8</v>
      </c>
      <c r="G34" s="279">
        <f>(G133*10000/$H$5)+(((G49/$H$5)-(G133*10000/$H$5))*$D$4)</f>
        <v>29606.94</v>
      </c>
      <c r="H34" s="177"/>
      <c r="I34" s="120"/>
    </row>
    <row r="35" spans="1:9">
      <c r="A35" s="128"/>
      <c r="B35" s="8"/>
      <c r="C35" s="8"/>
      <c r="D35" s="182"/>
      <c r="E35" s="182"/>
      <c r="F35" s="182"/>
      <c r="G35" s="182"/>
      <c r="H35" s="182"/>
      <c r="I35" s="120"/>
    </row>
    <row r="36" spans="1:9">
      <c r="A36" s="128" t="s">
        <v>140</v>
      </c>
      <c r="B36" s="8"/>
      <c r="C36" s="8"/>
      <c r="D36" s="176">
        <f>($D$59*10000/$H$5)+(((D49/$H$5)-($D$59*10000/$H$5))*$D$4)</f>
        <v>28931.8</v>
      </c>
      <c r="E36" s="163">
        <f>($D$59*10000/$H$5)+(((E49/$H$5)-($D$59*10000/$H$5))*$D$4)</f>
        <v>28931.8</v>
      </c>
      <c r="F36" s="177">
        <f>($D$59*10000/$H$5)+(((F49/$H$5)-($D$59*10000/$H$5))*$D$4)</f>
        <v>28931.8</v>
      </c>
      <c r="G36" s="279">
        <f>($D$59*10000/$H$5)+(((G49/$H$5)-($D$59*10000/$H$5))*$D$4)</f>
        <v>33606.94</v>
      </c>
      <c r="H36" s="177"/>
      <c r="I36" s="120"/>
    </row>
    <row r="37" spans="1:9">
      <c r="A37" s="128"/>
      <c r="B37" s="8"/>
      <c r="C37" s="8"/>
      <c r="D37" s="182"/>
      <c r="E37" s="182"/>
      <c r="F37" s="182"/>
      <c r="G37" s="182"/>
      <c r="H37" s="182"/>
      <c r="I37" s="120"/>
    </row>
    <row r="38" spans="1:9">
      <c r="A38" s="128" t="s">
        <v>146</v>
      </c>
      <c r="B38" s="8"/>
      <c r="C38" s="8"/>
      <c r="D38" s="176">
        <f>D50/$H$5</f>
        <v>52000</v>
      </c>
      <c r="E38" s="163">
        <f>E50/$H$5</f>
        <v>52000</v>
      </c>
      <c r="F38" s="177">
        <f>F50/$H$5</f>
        <v>52000</v>
      </c>
      <c r="G38" s="279">
        <f>G50/$H$5</f>
        <v>72000</v>
      </c>
      <c r="H38" s="177"/>
      <c r="I38" s="120"/>
    </row>
    <row r="39" spans="1:9">
      <c r="A39" s="128"/>
      <c r="B39" s="8"/>
      <c r="C39" s="8"/>
      <c r="D39" s="182"/>
      <c r="E39" s="182"/>
      <c r="F39" s="182"/>
      <c r="G39" s="182"/>
      <c r="H39" s="182"/>
      <c r="I39" s="120"/>
    </row>
    <row r="40" spans="1:9">
      <c r="A40" s="150" t="s">
        <v>69</v>
      </c>
      <c r="B40" s="151"/>
      <c r="C40" s="151"/>
      <c r="D40" s="183"/>
      <c r="E40" s="183"/>
      <c r="F40" s="183"/>
      <c r="G40" s="183"/>
      <c r="H40" s="183"/>
      <c r="I40" s="152"/>
    </row>
    <row r="41" spans="1:9">
      <c r="A41" s="128"/>
      <c r="B41" s="8"/>
      <c r="C41" s="8"/>
      <c r="D41" s="187" t="s">
        <v>60</v>
      </c>
      <c r="E41" s="187" t="s">
        <v>30</v>
      </c>
      <c r="F41" s="187" t="s">
        <v>61</v>
      </c>
      <c r="G41" s="187" t="s">
        <v>62</v>
      </c>
      <c r="H41" s="187"/>
      <c r="I41" s="120"/>
    </row>
    <row r="42" spans="1:9">
      <c r="A42" s="128" t="s">
        <v>139</v>
      </c>
      <c r="B42" s="8"/>
      <c r="C42" s="8"/>
      <c r="D42" s="176">
        <f>(D133*10000/$I$5)+(((D49/$I$5)-(D133*10000/$I$5))*$D$4)</f>
        <v>31564.75</v>
      </c>
      <c r="E42" s="163">
        <f>(E133*10000/$I$5)+(((E49/$I$5)-(E133*10000/$I$5))*$D$4)</f>
        <v>31164.75</v>
      </c>
      <c r="F42" s="177">
        <f>(F133*10000/$I$5)+(((F49/$I$5)-(F133*10000/$I$5))*$D$4)</f>
        <v>31164.75</v>
      </c>
      <c r="G42" s="279">
        <f>(G133*10000/$I$5)+(((G49/$I$5)-(G133*10000/$I$5))*$D$4)</f>
        <v>37008.675</v>
      </c>
      <c r="H42" s="177"/>
      <c r="I42" s="120"/>
    </row>
    <row r="43" spans="1:9">
      <c r="A43" s="128"/>
      <c r="B43" s="8"/>
      <c r="C43" s="8"/>
      <c r="D43" s="182"/>
      <c r="E43" s="182"/>
      <c r="F43" s="182"/>
      <c r="G43" s="182"/>
      <c r="H43" s="182"/>
      <c r="I43" s="120"/>
    </row>
    <row r="44" spans="1:9">
      <c r="A44" s="128" t="s">
        <v>140</v>
      </c>
      <c r="B44" s="8"/>
      <c r="C44" s="8"/>
      <c r="D44" s="176">
        <f>($D$59*10000/$I$5)+(((D49/$I$5)-($D$59*10000/$I$5))*$D$4)</f>
        <v>36164.75</v>
      </c>
      <c r="E44" s="163">
        <f>($D$59*10000/$I$5)+(((E49/$I$5)-($D$59*10000/$I$5))*$D$4)</f>
        <v>36164.75</v>
      </c>
      <c r="F44" s="177">
        <f>($D$59*10000/$I$5)+(((F49/$I$5)-($D$59*10000/$I$5))*$D$4)</f>
        <v>36164.75</v>
      </c>
      <c r="G44" s="279">
        <f>($D$59*10000/$I$5)+(((G49/$I$5)-($D$59*10000/$I$5))*$D$4)</f>
        <v>42008.675</v>
      </c>
      <c r="H44" s="177"/>
      <c r="I44" s="120"/>
    </row>
    <row r="45" spans="1:9">
      <c r="A45" s="128"/>
      <c r="B45" s="8"/>
      <c r="C45" s="8"/>
      <c r="D45" s="182"/>
      <c r="E45" s="182"/>
      <c r="F45" s="182"/>
      <c r="G45" s="182"/>
      <c r="H45" s="182"/>
      <c r="I45" s="120"/>
    </row>
    <row r="46" spans="1:9">
      <c r="A46" s="128" t="s">
        <v>146</v>
      </c>
      <c r="B46" s="8"/>
      <c r="C46" s="8"/>
      <c r="D46" s="176">
        <f>D50/$I$5</f>
        <v>65000</v>
      </c>
      <c r="E46" s="163">
        <f>E50/$I$5</f>
        <v>65000</v>
      </c>
      <c r="F46" s="177">
        <f>F50/$I$5</f>
        <v>65000</v>
      </c>
      <c r="G46" s="279">
        <f>G50/$I$5</f>
        <v>90000</v>
      </c>
      <c r="H46" s="177"/>
      <c r="I46" s="120"/>
    </row>
    <row r="47" spans="1:9" ht="15.75" thickBot="1">
      <c r="A47" s="115"/>
      <c r="B47" s="116"/>
      <c r="C47" s="116"/>
      <c r="D47" s="184"/>
      <c r="E47" s="184"/>
      <c r="F47" s="184"/>
      <c r="G47" s="184"/>
      <c r="H47" s="184"/>
      <c r="I47" s="117"/>
    </row>
    <row r="48" spans="1:9">
      <c r="A48" s="150" t="s">
        <v>143</v>
      </c>
      <c r="B48" s="148"/>
      <c r="C48" s="148"/>
      <c r="D48" s="185"/>
      <c r="E48" s="185"/>
      <c r="F48" s="185"/>
      <c r="G48" s="185"/>
      <c r="H48" s="185"/>
      <c r="I48" s="169"/>
    </row>
    <row r="49" spans="1:9">
      <c r="A49" s="180" t="s">
        <v>145</v>
      </c>
      <c r="B49" s="8"/>
      <c r="C49" s="8"/>
      <c r="D49" s="186">
        <v>1246590</v>
      </c>
      <c r="E49" s="278">
        <v>1246590</v>
      </c>
      <c r="F49" s="197">
        <v>1246590</v>
      </c>
      <c r="G49" s="280">
        <v>1480347</v>
      </c>
      <c r="H49" s="197"/>
      <c r="I49" s="120"/>
    </row>
    <row r="50" spans="1:9" ht="15.75" thickBot="1">
      <c r="A50" s="181" t="s">
        <v>144</v>
      </c>
      <c r="B50" s="116"/>
      <c r="C50" s="116"/>
      <c r="D50" s="186">
        <f>Assumptions!D176</f>
        <v>1300000</v>
      </c>
      <c r="E50" s="278">
        <f>Assumptions!E176</f>
        <v>1300000</v>
      </c>
      <c r="F50" s="197">
        <f>Assumptions!F176</f>
        <v>1300000</v>
      </c>
      <c r="G50" s="280">
        <v>1800000</v>
      </c>
      <c r="H50" s="197"/>
      <c r="I50" s="117"/>
    </row>
    <row r="51" spans="1:9" customHeight="1">
      <c r="A51" s="302" t="s">
        <v>133</v>
      </c>
      <c r="B51" s="291"/>
      <c r="C51" s="291"/>
      <c r="D51" s="291"/>
      <c r="E51" s="291"/>
      <c r="F51" s="291"/>
      <c r="G51" s="291"/>
      <c r="H51" s="118"/>
      <c r="I51" s="119"/>
    </row>
    <row r="52" spans="1:9" customHeight="1" thickBot="1">
      <c r="A52" s="306"/>
      <c r="B52" s="307"/>
      <c r="C52" s="307"/>
      <c r="D52" s="307"/>
      <c r="E52" s="307"/>
      <c r="F52" s="307"/>
      <c r="G52" s="307"/>
      <c r="H52" s="125"/>
      <c r="I52" s="126"/>
    </row>
    <row r="53" spans="1:9" customHeight="1" thickBot="1">
      <c r="A53" s="128"/>
      <c r="B53" s="8"/>
      <c r="C53" s="8"/>
      <c r="D53" s="8"/>
      <c r="E53" s="8"/>
      <c r="F53" s="8"/>
      <c r="G53" s="8"/>
      <c r="H53" s="8"/>
      <c r="I53" s="120"/>
    </row>
    <row r="54" spans="1:9" customHeight="1">
      <c r="A54" s="102" t="s">
        <v>63</v>
      </c>
      <c r="B54" s="103"/>
      <c r="C54" s="103"/>
      <c r="D54" s="103"/>
      <c r="E54" s="103"/>
      <c r="F54" s="103"/>
      <c r="G54" s="103"/>
      <c r="H54" s="103"/>
      <c r="I54" s="104"/>
    </row>
    <row r="55" spans="1:9" customHeight="1">
      <c r="A55" s="128"/>
      <c r="B55" s="8"/>
      <c r="C55" s="8"/>
      <c r="D55" s="124" t="s">
        <v>60</v>
      </c>
      <c r="E55" s="124" t="s">
        <v>30</v>
      </c>
      <c r="F55" s="124" t="s">
        <v>61</v>
      </c>
      <c r="G55" s="124" t="s">
        <v>62</v>
      </c>
      <c r="H55" s="8"/>
      <c r="I55" s="120"/>
    </row>
    <row r="56" spans="1:9" customHeight="1">
      <c r="A56" s="128" t="s">
        <v>139</v>
      </c>
      <c r="B56" s="8"/>
      <c r="C56" s="8"/>
      <c r="D56" s="161">
        <f>$D$133+((D59-$D$133)*$D$4)</f>
        <v>10.799999999999999</v>
      </c>
      <c r="E56" s="162">
        <f>$D$133+((E59-$D$133)*$D$4)</f>
        <v>0.8</v>
      </c>
      <c r="F56" s="163">
        <f>$D$133+((F59-$D$133)*$D$4)</f>
        <v>0.8</v>
      </c>
      <c r="G56" s="164">
        <f>$D$133+((G59-$D$133)*$D$4)</f>
        <v>0.8</v>
      </c>
      <c r="H56" s="8"/>
      <c r="I56" s="120"/>
    </row>
    <row r="57" spans="1:9" customHeight="1">
      <c r="A57" s="128"/>
      <c r="B57" s="8"/>
      <c r="C57" s="8"/>
      <c r="D57" s="8"/>
      <c r="E57" s="8"/>
      <c r="F57" s="8"/>
      <c r="G57" s="8"/>
      <c r="H57" s="8"/>
      <c r="I57" s="120"/>
    </row>
    <row r="58" spans="1:9" customHeight="1">
      <c r="A58" s="128" t="s">
        <v>146</v>
      </c>
      <c r="B58" s="8"/>
      <c r="C58" s="8"/>
      <c r="D58" s="198">
        <f>Assumptions!D182/10000</f>
        <v>20</v>
      </c>
      <c r="E58" s="202">
        <f>Assumptions!E182/10000</f>
        <v>0</v>
      </c>
      <c r="F58" s="204">
        <f>Assumptions!F182/10000</f>
        <v>0</v>
      </c>
      <c r="G58" s="206">
        <f>Assumptions!G182/10000</f>
        <v>0</v>
      </c>
      <c r="H58" s="8"/>
      <c r="I58" s="120"/>
    </row>
    <row r="59" spans="1:9" customHeight="1">
      <c r="A59" s="128" t="s">
        <v>141</v>
      </c>
      <c r="B59" s="8"/>
      <c r="C59" s="8"/>
      <c r="D59" s="198">
        <f>Assumptions!D183/10000</f>
        <v>20</v>
      </c>
      <c r="E59" s="202">
        <f>Assumptions!E183/10000</f>
        <v>0</v>
      </c>
      <c r="F59" s="204">
        <f>Assumptions!F183/10000</f>
        <v>0</v>
      </c>
      <c r="G59" s="206">
        <f>Assumptions!G183/10000</f>
        <v>0</v>
      </c>
      <c r="H59" s="8"/>
      <c r="I59" s="120"/>
    </row>
    <row r="60" spans="1:9" customHeight="1">
      <c r="A60" s="128"/>
      <c r="B60" s="8"/>
      <c r="C60" s="8"/>
      <c r="D60" s="8"/>
      <c r="E60" s="8"/>
      <c r="F60" s="8"/>
      <c r="G60" s="8"/>
      <c r="H60" s="8"/>
      <c r="I60" s="120"/>
    </row>
    <row r="61" spans="1:9" customHeight="1">
      <c r="A61" s="150" t="s">
        <v>64</v>
      </c>
      <c r="B61" s="151"/>
      <c r="C61" s="151"/>
      <c r="D61" s="151"/>
      <c r="E61" s="151"/>
      <c r="F61" s="151"/>
      <c r="G61" s="151"/>
      <c r="H61" s="151"/>
      <c r="I61" s="152"/>
    </row>
    <row r="62" spans="1:12" customHeight="1">
      <c r="A62" s="128"/>
      <c r="B62" s="8"/>
      <c r="C62" s="8"/>
      <c r="D62" s="124" t="s">
        <v>60</v>
      </c>
      <c r="E62" s="124" t="s">
        <v>30</v>
      </c>
      <c r="F62" s="124" t="s">
        <v>61</v>
      </c>
      <c r="G62" s="124" t="s">
        <v>62</v>
      </c>
      <c r="H62" s="8"/>
      <c r="I62" s="120"/>
      <c r="L62" s="13"/>
    </row>
    <row r="63" spans="1:9" customHeight="1">
      <c r="A63" s="128" t="s">
        <v>142</v>
      </c>
      <c r="B63" s="8"/>
      <c r="C63" s="8"/>
      <c r="D63" s="161">
        <f>$D$133+((D68-$D$133)*$D$4)</f>
        <v>0.8</v>
      </c>
      <c r="E63" s="162">
        <f>$D$133+((E68-$D$133)*$D$4)</f>
        <v>0.8</v>
      </c>
      <c r="F63" s="163">
        <f>$D$133+((F68-$D$133)*$D$4)</f>
        <v>0.8</v>
      </c>
      <c r="G63" s="164">
        <f>$D$133+((G68-$D$133)*$D$4)</f>
        <v>0.8</v>
      </c>
      <c r="H63" s="8"/>
      <c r="I63" s="120"/>
    </row>
    <row r="64" spans="1:9" customHeight="1">
      <c r="A64" s="128"/>
      <c r="B64" s="8"/>
      <c r="C64" s="8"/>
      <c r="D64" s="8"/>
      <c r="E64" s="8"/>
      <c r="F64" s="8"/>
      <c r="G64" s="8"/>
      <c r="H64" s="8"/>
      <c r="I64" s="120"/>
    </row>
    <row r="65" spans="1:9" customHeight="1">
      <c r="A65" s="128" t="s">
        <v>140</v>
      </c>
      <c r="B65" s="8"/>
      <c r="C65" s="8"/>
      <c r="D65" s="161">
        <f>$D$59+((D68-$D$59)*$D$4)</f>
        <v>10</v>
      </c>
      <c r="E65" s="162">
        <f>$D$59+((E68-$D$59)*$D$4)</f>
        <v>10</v>
      </c>
      <c r="F65" s="163">
        <f>$D$59+((F68-$D$59)*$D$4)</f>
        <v>10</v>
      </c>
      <c r="G65" s="164">
        <f>$D$59+((G68-$D$59)*$D$4)</f>
        <v>10</v>
      </c>
      <c r="H65" s="8"/>
      <c r="I65" s="120"/>
    </row>
    <row r="66" spans="1:9" customHeight="1">
      <c r="A66" s="128"/>
      <c r="B66" s="8"/>
      <c r="C66" s="8"/>
      <c r="D66" s="8"/>
      <c r="E66" s="8"/>
      <c r="F66" s="8"/>
      <c r="G66" s="8"/>
      <c r="H66" s="8"/>
      <c r="I66" s="120"/>
    </row>
    <row r="67" spans="1:9" customHeight="1">
      <c r="A67" s="128" t="s">
        <v>146</v>
      </c>
      <c r="B67" s="8"/>
      <c r="C67" s="8"/>
      <c r="D67" s="198">
        <f>Assumptions!D185/10000</f>
        <v>0</v>
      </c>
      <c r="E67" s="202">
        <f>Assumptions!E185/10000</f>
        <v>0</v>
      </c>
      <c r="F67" s="204">
        <f>Assumptions!F185/10000</f>
        <v>0</v>
      </c>
      <c r="G67" s="206">
        <f>Assumptions!G185/10000</f>
        <v>0</v>
      </c>
      <c r="H67" s="8"/>
      <c r="I67" s="120"/>
    </row>
    <row r="68" spans="1:9" customHeight="1">
      <c r="A68" s="128" t="s">
        <v>141</v>
      </c>
      <c r="B68" s="8"/>
      <c r="C68" s="8"/>
      <c r="D68" s="198">
        <f>Assumptions!D186/10000</f>
        <v>0</v>
      </c>
      <c r="E68" s="202">
        <f>Assumptions!E186/10000</f>
        <v>0</v>
      </c>
      <c r="F68" s="204">
        <f>Assumptions!F186/10000</f>
        <v>0</v>
      </c>
      <c r="G68" s="206">
        <f>Assumptions!G186/10000</f>
        <v>0</v>
      </c>
      <c r="H68" s="8"/>
      <c r="I68" s="120"/>
    </row>
    <row r="69" spans="1:9" customHeight="1">
      <c r="A69" s="128"/>
      <c r="B69" s="8"/>
      <c r="C69" s="8"/>
      <c r="D69" s="8"/>
      <c r="E69" s="8"/>
      <c r="F69" s="8"/>
      <c r="G69" s="8"/>
      <c r="H69" s="8"/>
      <c r="I69" s="120"/>
    </row>
    <row r="70" spans="1:9" customHeight="1">
      <c r="A70" s="150" t="s">
        <v>65</v>
      </c>
      <c r="B70" s="151"/>
      <c r="C70" s="151"/>
      <c r="D70" s="151"/>
      <c r="E70" s="151"/>
      <c r="F70" s="151"/>
      <c r="G70" s="151"/>
      <c r="H70" s="151"/>
      <c r="I70" s="152"/>
    </row>
    <row r="71" spans="1:9" customHeight="1">
      <c r="A71" s="128"/>
      <c r="B71" s="8"/>
      <c r="C71" s="8"/>
      <c r="D71" s="124" t="s">
        <v>60</v>
      </c>
      <c r="E71" s="124" t="s">
        <v>30</v>
      </c>
      <c r="F71" s="124" t="s">
        <v>61</v>
      </c>
      <c r="G71" s="124" t="s">
        <v>62</v>
      </c>
      <c r="H71" s="8"/>
      <c r="I71" s="120"/>
    </row>
    <row r="72" spans="1:9" customHeight="1">
      <c r="A72" s="128" t="s">
        <v>142</v>
      </c>
      <c r="B72" s="8"/>
      <c r="C72" s="8"/>
      <c r="D72" s="161">
        <f>$D$133+((D77-$D$133)*$D$4)</f>
        <v>0.8</v>
      </c>
      <c r="E72" s="162">
        <f>$D$133+((E77-$D$133)*$D$4)</f>
        <v>0.8</v>
      </c>
      <c r="F72" s="163">
        <f>$D$133+((F77-$D$133)*$D$4)</f>
        <v>0.8</v>
      </c>
      <c r="G72" s="164">
        <f>$D$133+((G77-$D$133)*$D$4)</f>
        <v>0.8</v>
      </c>
      <c r="H72" s="8"/>
      <c r="I72" s="120"/>
    </row>
    <row r="73" spans="1:9" customHeight="1">
      <c r="A73" s="128"/>
      <c r="B73" s="8"/>
      <c r="C73" s="8"/>
      <c r="D73" s="8"/>
      <c r="E73" s="8"/>
      <c r="F73" s="8"/>
      <c r="G73" s="8"/>
      <c r="H73" s="8"/>
      <c r="I73" s="120"/>
    </row>
    <row r="74" spans="1:9" customHeight="1">
      <c r="A74" s="128" t="s">
        <v>140</v>
      </c>
      <c r="B74" s="8"/>
      <c r="C74" s="8"/>
      <c r="D74" s="161">
        <f>$D$59+((D77-$D$59)*$D$4)</f>
        <v>10</v>
      </c>
      <c r="E74" s="162">
        <f>$D$59+((E77-$D$59)*$D$4)</f>
        <v>10</v>
      </c>
      <c r="F74" s="163">
        <f>$D$59+((F77-$D$59)*$D$4)</f>
        <v>10</v>
      </c>
      <c r="G74" s="164">
        <f>$D$59+((G77-$D$59)*$D$4)</f>
        <v>10</v>
      </c>
      <c r="H74" s="8"/>
      <c r="I74" s="120"/>
    </row>
    <row r="75" spans="1:9" customHeight="1">
      <c r="A75" s="128"/>
      <c r="B75" s="8"/>
      <c r="C75" s="8"/>
      <c r="D75" s="8"/>
      <c r="E75" s="8"/>
      <c r="F75" s="8"/>
      <c r="G75" s="8"/>
      <c r="H75" s="8"/>
      <c r="I75" s="120"/>
    </row>
    <row r="76" spans="1:9" customHeight="1">
      <c r="A76" s="128" t="s">
        <v>146</v>
      </c>
      <c r="B76" s="8"/>
      <c r="C76" s="8"/>
      <c r="D76" s="198">
        <f>Assumptions!D188/10000</f>
        <v>0</v>
      </c>
      <c r="E76" s="202">
        <f>Assumptions!E188/10000</f>
        <v>0</v>
      </c>
      <c r="F76" s="204">
        <f>Assumptions!F188/10000</f>
        <v>0</v>
      </c>
      <c r="G76" s="206">
        <f>Assumptions!G188/10000</f>
        <v>0</v>
      </c>
      <c r="H76" s="8"/>
      <c r="I76" s="120"/>
    </row>
    <row r="77" spans="1:9" customHeight="1">
      <c r="A77" s="128" t="s">
        <v>141</v>
      </c>
      <c r="B77" s="8"/>
      <c r="C77" s="8"/>
      <c r="D77" s="198">
        <f>Assumptions!D189/10000</f>
        <v>0</v>
      </c>
      <c r="E77" s="202">
        <f>Assumptions!E189/10000</f>
        <v>0</v>
      </c>
      <c r="F77" s="204">
        <f>Assumptions!F189/10000</f>
        <v>0</v>
      </c>
      <c r="G77" s="206">
        <f>Assumptions!G189/10000</f>
        <v>0</v>
      </c>
      <c r="H77" s="8"/>
      <c r="I77" s="120"/>
    </row>
    <row r="78" spans="1:9" customHeight="1">
      <c r="A78" s="128"/>
      <c r="B78" s="8"/>
      <c r="C78" s="8"/>
      <c r="D78" s="8"/>
      <c r="E78" s="8"/>
      <c r="F78" s="8"/>
      <c r="G78" s="8"/>
      <c r="H78" s="8"/>
      <c r="I78" s="120"/>
    </row>
    <row r="79" spans="1:9" customHeight="1">
      <c r="A79" s="150" t="s">
        <v>66</v>
      </c>
      <c r="B79" s="151"/>
      <c r="C79" s="151"/>
      <c r="D79" s="151"/>
      <c r="E79" s="151"/>
      <c r="F79" s="151"/>
      <c r="G79" s="151"/>
      <c r="H79" s="151"/>
      <c r="I79" s="152"/>
    </row>
    <row r="80" spans="1:9" customHeight="1">
      <c r="A80" s="128"/>
      <c r="B80" s="8"/>
      <c r="C80" s="8"/>
      <c r="D80" s="124" t="s">
        <v>60</v>
      </c>
      <c r="E80" s="124" t="s">
        <v>30</v>
      </c>
      <c r="F80" s="124" t="s">
        <v>61</v>
      </c>
      <c r="G80" s="124" t="s">
        <v>62</v>
      </c>
      <c r="H80" s="8"/>
      <c r="I80" s="120"/>
    </row>
    <row r="81" spans="1:9" customHeight="1">
      <c r="A81" s="128" t="s">
        <v>142</v>
      </c>
      <c r="B81" s="8"/>
      <c r="C81" s="8"/>
      <c r="D81" s="161">
        <f>$D$133+((D86-$D$133)*$D$4)</f>
        <v>0.8</v>
      </c>
      <c r="E81" s="162">
        <f>$D$133+((E86-$D$133)*$D$4)</f>
        <v>0.8</v>
      </c>
      <c r="F81" s="163">
        <f>$D$133+((F86-$D$133)*$D$4)</f>
        <v>0.8</v>
      </c>
      <c r="G81" s="164">
        <f>$D$133+((G86-$D$133)*$D$4)</f>
        <v>0.8</v>
      </c>
      <c r="H81" s="8"/>
      <c r="I81" s="120"/>
    </row>
    <row r="82" spans="1:9" customHeight="1">
      <c r="A82" s="128"/>
      <c r="B82" s="8"/>
      <c r="C82" s="8"/>
      <c r="D82" s="8"/>
      <c r="E82" s="8"/>
      <c r="F82" s="8"/>
      <c r="G82" s="8"/>
      <c r="H82" s="8"/>
      <c r="I82" s="120"/>
    </row>
    <row r="83" spans="1:9" customHeight="1">
      <c r="A83" s="128" t="s">
        <v>140</v>
      </c>
      <c r="B83" s="8"/>
      <c r="C83" s="8"/>
      <c r="D83" s="161">
        <f>$D$59+((D86-$D$59)*$D$4)</f>
        <v>10</v>
      </c>
      <c r="E83" s="162">
        <f>$D$59+((E86-$D$59)*$D$4)</f>
        <v>10</v>
      </c>
      <c r="F83" s="163">
        <f>$D$59+((F86-$D$59)*$D$4)</f>
        <v>10</v>
      </c>
      <c r="G83" s="164">
        <f>$D$59+((G86-$D$59)*$D$4)</f>
        <v>10</v>
      </c>
      <c r="H83" s="8"/>
      <c r="I83" s="120"/>
    </row>
    <row r="84" spans="1:9" customHeight="1">
      <c r="A84" s="128"/>
      <c r="B84" s="8"/>
      <c r="C84" s="8"/>
      <c r="D84" s="8"/>
      <c r="E84" s="8"/>
      <c r="F84" s="8"/>
      <c r="G84" s="8"/>
      <c r="H84" s="8"/>
      <c r="I84" s="120"/>
    </row>
    <row r="85" spans="1:9" customHeight="1">
      <c r="A85" s="128" t="s">
        <v>146</v>
      </c>
      <c r="B85" s="8"/>
      <c r="C85" s="8"/>
      <c r="D85" s="198">
        <f>Assumptions!D191/10000</f>
        <v>0</v>
      </c>
      <c r="E85" s="202">
        <f>Assumptions!E191/10000</f>
        <v>0</v>
      </c>
      <c r="F85" s="204">
        <f>Assumptions!F191/10000</f>
        <v>0</v>
      </c>
      <c r="G85" s="206">
        <f>Assumptions!G191/10000</f>
        <v>0</v>
      </c>
      <c r="H85" s="8"/>
      <c r="I85" s="120"/>
    </row>
    <row r="86" spans="1:9" customHeight="1">
      <c r="A86" s="128" t="s">
        <v>141</v>
      </c>
      <c r="B86" s="8"/>
      <c r="C86" s="8"/>
      <c r="D86" s="198">
        <f>Assumptions!D192/10000</f>
        <v>0</v>
      </c>
      <c r="E86" s="202">
        <f>Assumptions!E192/10000</f>
        <v>0</v>
      </c>
      <c r="F86" s="204">
        <f>Assumptions!F192/10000</f>
        <v>0</v>
      </c>
      <c r="G86" s="206">
        <f>Assumptions!G192/10000</f>
        <v>0</v>
      </c>
      <c r="H86" s="8"/>
      <c r="I86" s="120"/>
    </row>
    <row r="87" spans="1:9" customHeight="1">
      <c r="A87" s="128"/>
      <c r="B87" s="8"/>
      <c r="C87" s="8"/>
      <c r="D87" s="8"/>
      <c r="E87" s="8"/>
      <c r="F87" s="8"/>
      <c r="G87" s="8"/>
      <c r="H87" s="8"/>
      <c r="I87" s="120"/>
    </row>
    <row r="88" spans="1:9" customHeight="1">
      <c r="A88" s="150" t="s">
        <v>67</v>
      </c>
      <c r="B88" s="151"/>
      <c r="C88" s="151"/>
      <c r="D88" s="151"/>
      <c r="E88" s="151"/>
      <c r="F88" s="151"/>
      <c r="G88" s="151"/>
      <c r="H88" s="151"/>
      <c r="I88" s="152"/>
    </row>
    <row r="89" spans="1:9" customHeight="1">
      <c r="A89" s="128"/>
      <c r="B89" s="8"/>
      <c r="C89" s="8"/>
      <c r="D89" s="124" t="s">
        <v>60</v>
      </c>
      <c r="E89" s="124" t="s">
        <v>30</v>
      </c>
      <c r="F89" s="124" t="s">
        <v>61</v>
      </c>
      <c r="G89" s="124" t="s">
        <v>62</v>
      </c>
      <c r="H89" s="8"/>
      <c r="I89" s="120"/>
    </row>
    <row r="90" spans="1:9" customHeight="1">
      <c r="A90" s="128" t="s">
        <v>142</v>
      </c>
      <c r="B90" s="8"/>
      <c r="C90" s="8"/>
      <c r="D90" s="161">
        <f>$D$133+((D95-$D$133)*$D$4)</f>
        <v>0.8</v>
      </c>
      <c r="E90" s="162">
        <f>$D$133+((E95-$D$133)*$D$4)</f>
        <v>0.8</v>
      </c>
      <c r="F90" s="163">
        <f>$D$133+((F95-$D$133)*$D$4)</f>
        <v>0.8</v>
      </c>
      <c r="G90" s="164">
        <f>$D$133+((G95-$D$133)*$D$4)</f>
        <v>0.8</v>
      </c>
      <c r="H90" s="8"/>
      <c r="I90" s="120"/>
    </row>
    <row r="91" spans="1:9" customHeight="1">
      <c r="A91" s="128"/>
      <c r="B91" s="8"/>
      <c r="C91" s="8"/>
      <c r="D91" s="8"/>
      <c r="E91" s="8"/>
      <c r="F91" s="8"/>
      <c r="G91" s="8"/>
      <c r="H91" s="8"/>
      <c r="I91" s="120"/>
    </row>
    <row r="92" spans="1:9" customHeight="1">
      <c r="A92" s="128" t="s">
        <v>140</v>
      </c>
      <c r="B92" s="8"/>
      <c r="C92" s="8"/>
      <c r="D92" s="161">
        <f>$D$59+((D95-$D$59)*$D$4)</f>
        <v>10</v>
      </c>
      <c r="E92" s="162">
        <f>$D$59+((E95-$D$59)*$D$4)</f>
        <v>10</v>
      </c>
      <c r="F92" s="163">
        <f>$D$59+((F95-$D$59)*$D$4)</f>
        <v>10</v>
      </c>
      <c r="G92" s="164">
        <f>$D$59+((G95-$D$59)*$D$4)</f>
        <v>10</v>
      </c>
      <c r="H92" s="11"/>
      <c r="I92" s="129"/>
    </row>
    <row r="93" spans="1:9" customHeight="1">
      <c r="A93" s="121"/>
      <c r="B93" s="11"/>
      <c r="C93" s="11"/>
      <c r="D93" s="11"/>
      <c r="E93" s="11"/>
      <c r="F93" s="11"/>
      <c r="G93" s="11"/>
      <c r="H93" s="11"/>
      <c r="I93" s="129"/>
    </row>
    <row r="94" spans="1:9" customHeight="1">
      <c r="A94" s="128" t="s">
        <v>146</v>
      </c>
      <c r="B94" s="8"/>
      <c r="C94" s="8"/>
      <c r="D94" s="199">
        <f>Assumptions!D194/10000</f>
        <v>0</v>
      </c>
      <c r="E94" s="203">
        <f>Assumptions!E194/10000</f>
        <v>0</v>
      </c>
      <c r="F94" s="205">
        <f>Assumptions!F194/10000</f>
        <v>0</v>
      </c>
      <c r="G94" s="207">
        <f>Assumptions!G194/10000</f>
        <v>0</v>
      </c>
      <c r="H94" s="8"/>
      <c r="I94" s="120"/>
    </row>
    <row r="95" spans="1:9" customHeight="1">
      <c r="A95" s="128" t="s">
        <v>141</v>
      </c>
      <c r="B95" s="8"/>
      <c r="C95" s="8"/>
      <c r="D95" s="198">
        <f>Assumptions!D195/10000</f>
        <v>0</v>
      </c>
      <c r="E95" s="202">
        <f>Assumptions!E195/10000</f>
        <v>0</v>
      </c>
      <c r="F95" s="204">
        <f>Assumptions!F195/10000</f>
        <v>0</v>
      </c>
      <c r="G95" s="206">
        <f>Assumptions!G195/10000</f>
        <v>0</v>
      </c>
      <c r="H95" s="8"/>
      <c r="I95" s="120"/>
    </row>
    <row r="96" spans="1:9" customHeight="1" thickBot="1">
      <c r="A96" s="115"/>
      <c r="B96" s="116"/>
      <c r="C96" s="116"/>
      <c r="D96" s="116"/>
      <c r="E96" s="116"/>
      <c r="F96" s="116"/>
      <c r="G96" s="116"/>
      <c r="H96" s="116"/>
      <c r="I96" s="117"/>
    </row>
    <row r="97" spans="1:9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customHeight="1" thickBo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customHeight="1">
      <c r="A101" s="302" t="s">
        <v>55</v>
      </c>
      <c r="B101" s="303"/>
      <c r="C101" s="303"/>
      <c r="D101" s="303"/>
      <c r="E101" s="118"/>
      <c r="F101" s="118"/>
      <c r="G101" s="118"/>
      <c r="H101" s="118"/>
      <c r="I101" s="119"/>
    </row>
    <row r="102" spans="1:9" customHeight="1">
      <c r="A102" s="304"/>
      <c r="B102" s="305"/>
      <c r="C102" s="305"/>
      <c r="D102" s="305"/>
      <c r="E102" s="148"/>
      <c r="F102" s="148"/>
      <c r="G102" s="148"/>
      <c r="H102" s="148"/>
      <c r="I102" s="169"/>
    </row>
    <row r="103" spans="1:9" customHeight="1">
      <c r="A103" s="128"/>
      <c r="B103" s="8"/>
      <c r="C103" s="8"/>
      <c r="D103" s="8"/>
      <c r="E103" s="8"/>
      <c r="F103" s="8"/>
      <c r="G103" s="8"/>
      <c r="H103" s="8"/>
      <c r="I103" s="120"/>
    </row>
    <row r="104" spans="1:9" customHeight="1">
      <c r="A104" s="150" t="s">
        <v>68</v>
      </c>
      <c r="B104" s="151"/>
      <c r="C104" s="151"/>
      <c r="D104" s="151"/>
      <c r="E104" s="151"/>
      <c r="F104" s="151"/>
      <c r="G104" s="151"/>
      <c r="H104" s="151"/>
      <c r="I104" s="152"/>
    </row>
    <row r="105" spans="1:9" customHeight="1">
      <c r="A105" s="128"/>
      <c r="B105" s="8"/>
      <c r="C105" s="8"/>
      <c r="D105" s="124" t="s">
        <v>60</v>
      </c>
      <c r="E105" s="124" t="s">
        <v>30</v>
      </c>
      <c r="F105" s="124" t="s">
        <v>61</v>
      </c>
      <c r="G105" s="124" t="s">
        <v>62</v>
      </c>
      <c r="H105" s="124"/>
      <c r="I105" s="120"/>
    </row>
    <row r="106" spans="1:9" customHeight="1">
      <c r="A106" s="128" t="s">
        <v>142</v>
      </c>
      <c r="B106" s="8"/>
      <c r="C106" s="8"/>
      <c r="D106" s="161">
        <f>$D$133+((D111-$D$133)*$D$4)</f>
        <v>0.8</v>
      </c>
      <c r="E106" s="162">
        <f>$D$133+((E111-$D$133)*$D$4)</f>
        <v>0.8</v>
      </c>
      <c r="F106" s="163">
        <f>$D$133+((F111-$D$133)*$D$4)</f>
        <v>0.8</v>
      </c>
      <c r="G106" s="164">
        <f>$D$133+((G111-$D$133)*$D$4)</f>
        <v>0.8</v>
      </c>
      <c r="H106" s="8"/>
      <c r="I106" s="120"/>
    </row>
    <row r="107" spans="1:9" customHeight="1">
      <c r="A107" s="128"/>
      <c r="B107" s="8"/>
      <c r="C107" s="8"/>
      <c r="D107" s="8"/>
      <c r="E107" s="8"/>
      <c r="F107" s="8"/>
      <c r="G107" s="8"/>
      <c r="H107" s="8"/>
      <c r="I107" s="120"/>
    </row>
    <row r="108" spans="1:9" customHeight="1">
      <c r="A108" s="128" t="s">
        <v>140</v>
      </c>
      <c r="B108" s="8"/>
      <c r="C108" s="8"/>
      <c r="D108" s="161">
        <f>$D$59+((D111-$D$59)*$D$4)</f>
        <v>10</v>
      </c>
      <c r="E108" s="162">
        <f>$D$59+((E111-$D$59)*$D$4)</f>
        <v>10</v>
      </c>
      <c r="F108" s="163">
        <f>$D$59+((F111-$D$59)*$D$4)</f>
        <v>10</v>
      </c>
      <c r="G108" s="164">
        <f>$D$59+((G111-$D$59)*$D$4)</f>
        <v>10</v>
      </c>
      <c r="H108" s="8"/>
      <c r="I108" s="120"/>
    </row>
    <row r="109" spans="1:9" customHeight="1">
      <c r="A109" s="128"/>
      <c r="B109" s="8"/>
      <c r="C109" s="8"/>
      <c r="D109" s="8"/>
      <c r="E109" s="8"/>
      <c r="F109" s="8"/>
      <c r="G109" s="8"/>
      <c r="H109" s="8"/>
      <c r="I109" s="120"/>
    </row>
    <row r="110" spans="1:9" customHeight="1">
      <c r="A110" s="128" t="s">
        <v>146</v>
      </c>
      <c r="B110" s="8"/>
      <c r="C110" s="8"/>
      <c r="D110" s="198">
        <f>Assumptions!D197/10000</f>
        <v>0</v>
      </c>
      <c r="E110" s="202">
        <f>Assumptions!E197/10000</f>
        <v>0</v>
      </c>
      <c r="F110" s="204">
        <f>Assumptions!F197/10000</f>
        <v>0</v>
      </c>
      <c r="G110" s="206">
        <f>Assumptions!G197/10000</f>
        <v>0</v>
      </c>
      <c r="H110" s="8"/>
      <c r="I110" s="120"/>
    </row>
    <row r="111" spans="1:9" customHeight="1">
      <c r="A111" s="128" t="s">
        <v>141</v>
      </c>
      <c r="B111" s="8"/>
      <c r="C111" s="8"/>
      <c r="D111" s="198">
        <f>Assumptions!D198/10000</f>
        <v>0</v>
      </c>
      <c r="E111" s="202">
        <f>Assumptions!E198/10000</f>
        <v>0</v>
      </c>
      <c r="F111" s="204">
        <f>Assumptions!F198/10000</f>
        <v>0</v>
      </c>
      <c r="G111" s="206">
        <f>Assumptions!G198/10000</f>
        <v>0</v>
      </c>
      <c r="H111" s="8"/>
      <c r="I111" s="120"/>
    </row>
    <row r="112" spans="1:9" customHeight="1">
      <c r="A112" s="128"/>
      <c r="B112" s="8"/>
      <c r="C112" s="8"/>
      <c r="D112" s="8"/>
      <c r="E112" s="8"/>
      <c r="F112" s="8"/>
      <c r="G112" s="8"/>
      <c r="H112" s="8"/>
      <c r="I112" s="120"/>
    </row>
    <row r="113" spans="1:9" customHeight="1">
      <c r="A113" s="150" t="s">
        <v>74</v>
      </c>
      <c r="B113" s="151"/>
      <c r="C113" s="151"/>
      <c r="D113" s="151"/>
      <c r="E113" s="151"/>
      <c r="F113" s="151"/>
      <c r="G113" s="151"/>
      <c r="H113" s="151"/>
      <c r="I113" s="152"/>
    </row>
    <row r="114" spans="1:9" customHeight="1">
      <c r="A114" s="128"/>
      <c r="B114" s="8"/>
      <c r="C114" s="8"/>
      <c r="D114" s="124" t="s">
        <v>60</v>
      </c>
      <c r="E114" s="124" t="s">
        <v>30</v>
      </c>
      <c r="F114" s="124" t="s">
        <v>61</v>
      </c>
      <c r="G114" s="124" t="s">
        <v>62</v>
      </c>
      <c r="H114" s="8"/>
      <c r="I114" s="120"/>
    </row>
    <row r="115" spans="1:9" customHeight="1">
      <c r="A115" s="128" t="s">
        <v>142</v>
      </c>
      <c r="B115" s="8"/>
      <c r="C115" s="8"/>
      <c r="D115" s="161">
        <f>$D$133+((D120-$D$133)*$D$4)</f>
        <v>0.8</v>
      </c>
      <c r="E115" s="162">
        <f>$D$133+((E120-$D$133)*$D$4)</f>
        <v>0.8</v>
      </c>
      <c r="F115" s="163">
        <f>$D$133+((F120-$D$133)*$D$4)</f>
        <v>0.8</v>
      </c>
      <c r="G115" s="164">
        <f>$D$133+((G120-$D$133)*$D$4)</f>
        <v>0.8</v>
      </c>
      <c r="H115" s="8"/>
      <c r="I115" s="120"/>
    </row>
    <row r="116" spans="1:9" customHeight="1">
      <c r="A116" s="128"/>
      <c r="B116" s="8"/>
      <c r="C116" s="8"/>
      <c r="D116" s="8"/>
      <c r="E116" s="8"/>
      <c r="F116" s="8"/>
      <c r="G116" s="8"/>
      <c r="H116" s="8"/>
      <c r="I116" s="120"/>
    </row>
    <row r="117" spans="1:9" customHeight="1">
      <c r="A117" s="128" t="s">
        <v>140</v>
      </c>
      <c r="B117" s="8"/>
      <c r="C117" s="8"/>
      <c r="D117" s="161">
        <f>$D$59+((D120-$D$59)*$D$4)</f>
        <v>10</v>
      </c>
      <c r="E117" s="162">
        <f>$D$59+((E120-$D$59)*$D$4)</f>
        <v>10</v>
      </c>
      <c r="F117" s="163">
        <f>$D$59+((F120-$D$59)*$D$4)</f>
        <v>10</v>
      </c>
      <c r="G117" s="164">
        <f>$D$59+((G120-$D$59)*$D$4)</f>
        <v>10</v>
      </c>
      <c r="H117" s="11"/>
      <c r="I117" s="129"/>
    </row>
    <row r="118" spans="1:9" customHeight="1">
      <c r="A118" s="121"/>
      <c r="B118" s="11"/>
      <c r="C118" s="11"/>
      <c r="D118" s="11"/>
      <c r="E118" s="11"/>
      <c r="F118" s="11"/>
      <c r="G118" s="11"/>
      <c r="H118" s="11"/>
      <c r="I118" s="129"/>
    </row>
    <row r="119" spans="1:9" customHeight="1">
      <c r="A119" s="128" t="s">
        <v>146</v>
      </c>
      <c r="B119" s="8"/>
      <c r="C119" s="8"/>
      <c r="D119" s="200">
        <f>Assumptions!D200/10000</f>
        <v>0</v>
      </c>
      <c r="E119" s="202">
        <f>Assumptions!E200/10000</f>
        <v>0</v>
      </c>
      <c r="F119" s="204">
        <f>Assumptions!F200/10000</f>
        <v>0</v>
      </c>
      <c r="G119" s="206">
        <f>Assumptions!G200/10000</f>
        <v>0</v>
      </c>
      <c r="H119" s="8"/>
      <c r="I119" s="120"/>
    </row>
    <row r="120" spans="1:9" customHeight="1">
      <c r="A120" s="128" t="s">
        <v>141</v>
      </c>
      <c r="B120" s="8"/>
      <c r="C120" s="8"/>
      <c r="D120" s="200">
        <f>Assumptions!D201/10000</f>
        <v>0</v>
      </c>
      <c r="E120" s="202">
        <f>Assumptions!E201/10000</f>
        <v>0</v>
      </c>
      <c r="F120" s="204">
        <f>Assumptions!F201/10000</f>
        <v>0</v>
      </c>
      <c r="G120" s="206">
        <f>Assumptions!G201/10000</f>
        <v>0</v>
      </c>
      <c r="H120" s="8"/>
      <c r="I120" s="120"/>
    </row>
    <row r="121" spans="1:9" customHeight="1">
      <c r="A121" s="121"/>
      <c r="B121" s="11"/>
      <c r="C121" s="11"/>
      <c r="D121" s="11"/>
      <c r="E121" s="11"/>
      <c r="F121" s="11"/>
      <c r="G121" s="11"/>
      <c r="H121" s="11"/>
      <c r="I121" s="129"/>
    </row>
    <row r="122" spans="1:9" customHeight="1">
      <c r="A122" s="150" t="s">
        <v>75</v>
      </c>
      <c r="B122" s="151"/>
      <c r="C122" s="151"/>
      <c r="D122" s="151"/>
      <c r="E122" s="151"/>
      <c r="F122" s="151"/>
      <c r="G122" s="151"/>
      <c r="H122" s="151"/>
      <c r="I122" s="152"/>
    </row>
    <row r="123" spans="1:9" customHeight="1">
      <c r="A123" s="128"/>
      <c r="B123" s="8"/>
      <c r="C123" s="8"/>
      <c r="D123" s="124" t="s">
        <v>60</v>
      </c>
      <c r="E123" s="124" t="s">
        <v>30</v>
      </c>
      <c r="F123" s="124" t="s">
        <v>61</v>
      </c>
      <c r="G123" s="124" t="s">
        <v>62</v>
      </c>
      <c r="H123" s="8"/>
      <c r="I123" s="120"/>
    </row>
    <row r="124" spans="1:9" customHeight="1">
      <c r="A124" s="128" t="s">
        <v>142</v>
      </c>
      <c r="B124" s="8"/>
      <c r="C124" s="8"/>
      <c r="D124" s="161">
        <f>$D$133+((D129-$D$133)*$D$4)</f>
        <v>0.8</v>
      </c>
      <c r="E124" s="162">
        <f>$D$133+((E129-$D$133)*$D$4)</f>
        <v>0.8</v>
      </c>
      <c r="F124" s="163">
        <f>$D$133+((F129-$D$133)*$D$4)</f>
        <v>0.8</v>
      </c>
      <c r="G124" s="164">
        <f>$D$133+((G129-$D$133)*$D$4)</f>
        <v>0.8</v>
      </c>
      <c r="H124" s="8"/>
      <c r="I124" s="120"/>
    </row>
    <row r="125" spans="1:9" customHeight="1">
      <c r="A125" s="128"/>
      <c r="B125" s="8"/>
      <c r="C125" s="8"/>
      <c r="D125" s="8"/>
      <c r="E125" s="8"/>
      <c r="F125" s="8"/>
      <c r="G125" s="8"/>
      <c r="H125" s="8"/>
      <c r="I125" s="120"/>
    </row>
    <row r="126" spans="1:9" customHeight="1">
      <c r="A126" s="128" t="s">
        <v>140</v>
      </c>
      <c r="B126" s="8"/>
      <c r="C126" s="8"/>
      <c r="D126" s="161">
        <f>$D$59+((D129-$D$59)*$D$4)</f>
        <v>10</v>
      </c>
      <c r="E126" s="162">
        <f>$D$59+((E129-$D$59)*$D$4)</f>
        <v>10</v>
      </c>
      <c r="F126" s="163">
        <f>$D$59+((F129-$D$59)*$D$4)</f>
        <v>10</v>
      </c>
      <c r="G126" s="164">
        <f>$D$59+((G129-$D$59)*$D$4)</f>
        <v>10</v>
      </c>
      <c r="H126" s="8"/>
      <c r="I126" s="120"/>
    </row>
    <row r="127" spans="1:9" customHeight="1">
      <c r="A127" s="128"/>
      <c r="B127" s="8"/>
      <c r="C127" s="8"/>
      <c r="D127" s="8"/>
      <c r="E127" s="8"/>
      <c r="F127" s="8"/>
      <c r="G127" s="8"/>
      <c r="H127" s="8"/>
      <c r="I127" s="120"/>
    </row>
    <row r="128" spans="1:9" customHeight="1">
      <c r="A128" s="128" t="s">
        <v>146</v>
      </c>
      <c r="B128" s="8"/>
      <c r="C128" s="8"/>
      <c r="D128" s="198">
        <f>Assumptions!D203/10000</f>
        <v>0</v>
      </c>
      <c r="E128" s="202">
        <f>Assumptions!E203/10000</f>
        <v>0</v>
      </c>
      <c r="F128" s="204">
        <f>Assumptions!F203/10000</f>
        <v>0</v>
      </c>
      <c r="G128" s="206">
        <f>Assumptions!G203/10000</f>
        <v>0</v>
      </c>
      <c r="H128" s="8"/>
      <c r="I128" s="120"/>
    </row>
    <row r="129" spans="1:9" customHeight="1">
      <c r="A129" s="128" t="s">
        <v>141</v>
      </c>
      <c r="B129" s="8"/>
      <c r="C129" s="8"/>
      <c r="D129" s="198">
        <f>Assumptions!D204/10000</f>
        <v>0</v>
      </c>
      <c r="E129" s="202">
        <f>Assumptions!E204/10000</f>
        <v>0</v>
      </c>
      <c r="F129" s="204">
        <f>Assumptions!F204/10000</f>
        <v>0</v>
      </c>
      <c r="G129" s="206">
        <f>Assumptions!G204/10000</f>
        <v>0</v>
      </c>
      <c r="H129" s="8"/>
      <c r="I129" s="120"/>
    </row>
    <row r="130" spans="1:9" customHeight="1">
      <c r="A130" s="128"/>
      <c r="B130" s="8"/>
      <c r="C130" s="8"/>
      <c r="D130" s="8"/>
      <c r="E130" s="8"/>
      <c r="F130" s="8"/>
      <c r="G130" s="8"/>
      <c r="H130" s="8"/>
      <c r="I130" s="120"/>
    </row>
    <row r="131" spans="1:9" customHeight="1">
      <c r="A131" s="150" t="s">
        <v>76</v>
      </c>
      <c r="B131" s="151"/>
      <c r="C131" s="151"/>
      <c r="D131" s="151"/>
      <c r="E131" s="151"/>
      <c r="F131" s="151"/>
      <c r="G131" s="151"/>
      <c r="H131" s="151"/>
      <c r="I131" s="152"/>
    </row>
    <row r="132" spans="1:9" customHeight="1">
      <c r="A132" s="128"/>
      <c r="B132" s="8"/>
      <c r="C132" s="8"/>
      <c r="D132" s="124" t="s">
        <v>147</v>
      </c>
      <c r="E132" s="8"/>
      <c r="F132" s="8"/>
      <c r="G132" s="8"/>
      <c r="H132" s="8"/>
      <c r="I132" s="120"/>
    </row>
    <row r="133" spans="1:9" customHeight="1">
      <c r="A133" s="128" t="s">
        <v>77</v>
      </c>
      <c r="B133" s="8"/>
      <c r="C133" s="8"/>
      <c r="D133" s="208">
        <f>Assumptions!D206/10000</f>
        <v>1.6</v>
      </c>
      <c r="E133" s="7"/>
      <c r="F133" s="7"/>
      <c r="G133" s="7"/>
      <c r="H133" s="124"/>
      <c r="I133" s="120"/>
    </row>
    <row r="134" spans="1:9" customHeight="1">
      <c r="A134" s="128"/>
      <c r="B134" s="8"/>
      <c r="C134" s="8"/>
      <c r="D134" s="8"/>
      <c r="E134" s="8"/>
      <c r="F134" s="8"/>
      <c r="G134" s="8"/>
      <c r="H134" s="8"/>
      <c r="I134" s="120"/>
    </row>
    <row r="135" spans="1:9" customHeight="1">
      <c r="A135" s="128"/>
      <c r="B135" s="8"/>
      <c r="C135" s="8"/>
      <c r="D135" s="8"/>
      <c r="E135" s="8"/>
      <c r="F135" s="8"/>
      <c r="G135" s="8"/>
      <c r="H135" s="8"/>
      <c r="I135" s="120"/>
    </row>
    <row r="136" spans="1:9" customHeight="1">
      <c r="A136" s="150" t="s">
        <v>78</v>
      </c>
      <c r="B136" s="151"/>
      <c r="C136" s="151"/>
      <c r="D136" s="151"/>
      <c r="E136" s="151"/>
      <c r="F136" s="151"/>
      <c r="G136" s="151"/>
      <c r="H136" s="151"/>
      <c r="I136" s="152"/>
    </row>
    <row r="137" spans="1:9" customHeight="1">
      <c r="A137" s="128"/>
      <c r="B137" s="8"/>
      <c r="C137" s="8"/>
      <c r="D137" s="124" t="s">
        <v>60</v>
      </c>
      <c r="E137" s="124" t="s">
        <v>30</v>
      </c>
      <c r="F137" s="124" t="s">
        <v>61</v>
      </c>
      <c r="G137" s="124" t="s">
        <v>62</v>
      </c>
      <c r="H137" s="8"/>
      <c r="I137" s="120"/>
    </row>
    <row r="138" spans="1:9" customHeight="1">
      <c r="A138" s="128" t="s">
        <v>136</v>
      </c>
      <c r="B138" s="8"/>
      <c r="C138" s="8"/>
      <c r="D138" s="198">
        <f>Assumptions!D209/10000</f>
        <v>0</v>
      </c>
      <c r="E138" s="202">
        <f>Assumptions!E209/10000</f>
        <v>0</v>
      </c>
      <c r="F138" s="204">
        <f>Assumptions!F209/10000</f>
        <v>0</v>
      </c>
      <c r="G138" s="206">
        <f>Assumptions!G209/10000</f>
        <v>0</v>
      </c>
      <c r="H138" s="8"/>
      <c r="I138" s="120"/>
    </row>
    <row r="139" spans="1:9" customHeight="1">
      <c r="A139" s="128"/>
      <c r="B139" s="8"/>
      <c r="C139" s="8"/>
      <c r="D139" s="8"/>
      <c r="E139" s="8"/>
      <c r="F139" s="8"/>
      <c r="G139" s="8"/>
      <c r="H139" s="8"/>
      <c r="I139" s="120"/>
    </row>
    <row r="140" spans="1:9" customHeight="1">
      <c r="A140" s="128"/>
      <c r="B140" s="8"/>
      <c r="C140" s="8"/>
      <c r="D140" s="8"/>
      <c r="E140" s="8"/>
      <c r="F140" s="8"/>
      <c r="G140" s="8"/>
      <c r="H140" s="8"/>
      <c r="I140" s="120"/>
    </row>
    <row r="141" spans="1:9" customHeight="1">
      <c r="A141" s="150" t="s">
        <v>78</v>
      </c>
      <c r="B141" s="151"/>
      <c r="C141" s="151"/>
      <c r="D141" s="201"/>
      <c r="E141" s="201"/>
      <c r="F141" s="201"/>
      <c r="G141" s="201"/>
      <c r="H141" s="151"/>
      <c r="I141" s="152"/>
    </row>
    <row r="142" spans="1:9" customHeight="1">
      <c r="A142" s="128"/>
      <c r="B142" s="8"/>
      <c r="C142" s="8"/>
      <c r="D142" s="124" t="s">
        <v>60</v>
      </c>
      <c r="E142" s="124" t="s">
        <v>30</v>
      </c>
      <c r="F142" s="124" t="s">
        <v>61</v>
      </c>
      <c r="G142" s="124" t="s">
        <v>62</v>
      </c>
      <c r="H142" s="8"/>
      <c r="I142" s="120"/>
    </row>
    <row r="143" spans="1:9" customHeight="1">
      <c r="A143" s="128" t="s">
        <v>135</v>
      </c>
      <c r="B143" s="8"/>
      <c r="C143" s="8"/>
      <c r="D143" s="200">
        <f>Assumptions!D212/10000</f>
        <v>0</v>
      </c>
      <c r="E143" s="202">
        <f>Assumptions!E212/10000</f>
        <v>0</v>
      </c>
      <c r="F143" s="204">
        <f>Assumptions!F212/10000</f>
        <v>0</v>
      </c>
      <c r="G143" s="206">
        <f>Assumptions!G212/10000</f>
        <v>0</v>
      </c>
      <c r="H143" s="8"/>
      <c r="I143" s="120"/>
    </row>
    <row r="144" spans="1:9" customHeight="1">
      <c r="A144" s="128"/>
      <c r="B144" s="8"/>
      <c r="C144" s="8"/>
      <c r="D144" s="8"/>
      <c r="E144" s="8"/>
      <c r="F144" s="8"/>
      <c r="G144" s="8"/>
      <c r="H144" s="8"/>
      <c r="I144" s="120"/>
    </row>
    <row r="145" spans="1:9" customHeight="1">
      <c r="A145" s="128"/>
      <c r="B145" s="8"/>
      <c r="C145" s="8"/>
      <c r="D145" s="8"/>
      <c r="E145" s="8"/>
      <c r="F145" s="8"/>
      <c r="G145" s="8"/>
      <c r="H145" s="8"/>
      <c r="I145" s="120"/>
    </row>
    <row r="146" spans="1:9" customHeight="1">
      <c r="A146" s="150" t="s">
        <v>78</v>
      </c>
      <c r="B146" s="151"/>
      <c r="C146" s="151"/>
      <c r="D146" s="151"/>
      <c r="E146" s="151"/>
      <c r="F146" s="151"/>
      <c r="G146" s="151"/>
      <c r="H146" s="151"/>
      <c r="I146" s="152"/>
    </row>
    <row r="147" spans="1:9" customHeight="1">
      <c r="A147" s="128"/>
      <c r="B147" s="8"/>
      <c r="C147" s="8"/>
      <c r="D147" s="124" t="s">
        <v>60</v>
      </c>
      <c r="E147" s="124" t="s">
        <v>30</v>
      </c>
      <c r="F147" s="124" t="s">
        <v>61</v>
      </c>
      <c r="G147" s="124" t="s">
        <v>62</v>
      </c>
      <c r="H147" s="124"/>
      <c r="I147" s="120"/>
    </row>
    <row r="148" spans="1:9" customHeight="1">
      <c r="A148" s="128"/>
      <c r="B148" s="8"/>
      <c r="C148" s="8"/>
      <c r="D148" s="153"/>
      <c r="E148" s="154"/>
      <c r="F148" s="122"/>
      <c r="G148" s="123"/>
      <c r="H148" s="8"/>
      <c r="I148" s="120"/>
    </row>
    <row r="149" spans="1:9" customHeight="1" thickBot="1">
      <c r="A149" s="115"/>
      <c r="B149" s="116"/>
      <c r="C149" s="116"/>
      <c r="D149" s="116"/>
      <c r="E149" s="116"/>
      <c r="F149" s="116"/>
      <c r="G149" s="116"/>
      <c r="H149" s="116"/>
      <c r="I149" s="117"/>
    </row>
    <row r="150" spans="1:9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customHeight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customHeigh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customHeight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customHeight="1">
      <c r="A161" s="1"/>
      <c r="B161" s="1"/>
      <c r="C161" s="1"/>
      <c r="D161" s="1"/>
      <c r="E161" s="1"/>
      <c r="F161" s="1"/>
      <c r="G161" s="1"/>
      <c r="H161" s="1"/>
      <c r="I161" s="1"/>
    </row>
    <row r="162" spans="1:9" customHeight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customHeight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customHeight="1">
      <c r="A164" s="1"/>
      <c r="B164" s="1"/>
      <c r="C164" s="1"/>
      <c r="D164" s="1"/>
      <c r="E164" s="1"/>
      <c r="F164" s="1"/>
      <c r="G164" s="1"/>
      <c r="H164" s="1"/>
      <c r="I164" s="1"/>
    </row>
    <row r="165" spans="1:9" customHeight="1">
      <c r="A165" s="1"/>
      <c r="B165" s="1"/>
      <c r="C165" s="1"/>
      <c r="D165" s="1"/>
      <c r="E165" s="1"/>
      <c r="F165" s="1"/>
      <c r="G165" s="1"/>
      <c r="H165" s="1"/>
      <c r="I165" s="1"/>
    </row>
    <row r="166" spans="1:9" customHeight="1">
      <c r="A166" s="1"/>
      <c r="B166" s="1"/>
      <c r="C166" s="1"/>
      <c r="D166" s="1"/>
      <c r="E166" s="1"/>
      <c r="F166" s="1"/>
      <c r="G166" s="1"/>
      <c r="H166" s="1"/>
      <c r="I166" s="1"/>
    </row>
    <row r="167" spans="1:9" customHeight="1">
      <c r="A167" s="1"/>
      <c r="B167" s="1"/>
      <c r="C167" s="1"/>
      <c r="D167" s="1"/>
      <c r="E167" s="1"/>
      <c r="F167" s="1"/>
      <c r="G167" s="1"/>
      <c r="H167" s="1"/>
      <c r="I167" s="1"/>
    </row>
    <row r="168" spans="1:9" customHeight="1">
      <c r="A168" s="1"/>
      <c r="B168" s="1"/>
      <c r="C168" s="1"/>
      <c r="D168" s="1"/>
      <c r="E168" s="1"/>
      <c r="F168" s="1"/>
      <c r="G168" s="1"/>
      <c r="H168" s="1"/>
      <c r="I168" s="1"/>
    </row>
    <row r="169" spans="1:9" customHeight="1">
      <c r="A169" s="1"/>
      <c r="B169" s="1"/>
      <c r="C169" s="1"/>
      <c r="D169" s="1"/>
      <c r="E169" s="1"/>
      <c r="F169" s="1"/>
      <c r="G169" s="1"/>
      <c r="H169" s="1"/>
      <c r="I169" s="1"/>
    </row>
    <row r="170" spans="1:9" customHeight="1">
      <c r="A170" s="1"/>
      <c r="B170" s="1"/>
      <c r="C170" s="1"/>
      <c r="D170" s="1"/>
      <c r="E170" s="1"/>
      <c r="F170" s="1"/>
      <c r="G170" s="1"/>
      <c r="H170" s="1"/>
      <c r="I170" s="1"/>
    </row>
    <row r="171" spans="1:9" customHeight="1">
      <c r="A171" s="1"/>
      <c r="B171" s="1"/>
      <c r="C171" s="1"/>
      <c r="D171" s="1"/>
      <c r="E171" s="1"/>
      <c r="F171" s="1"/>
      <c r="G171" s="1"/>
      <c r="H171" s="1"/>
      <c r="I171" s="1"/>
    </row>
    <row r="172" spans="1:9" customHeight="1">
      <c r="A172" s="1"/>
      <c r="B172" s="1"/>
      <c r="C172" s="1"/>
      <c r="D172" s="1"/>
      <c r="E172" s="1"/>
      <c r="F172" s="1"/>
      <c r="G172" s="1"/>
      <c r="H172" s="1"/>
      <c r="I172" s="1"/>
    </row>
    <row r="173" spans="1:9" customHeight="1">
      <c r="A173" s="1"/>
      <c r="B173" s="1"/>
      <c r="C173" s="1"/>
      <c r="D173" s="1"/>
      <c r="E173" s="1"/>
      <c r="F173" s="1"/>
      <c r="G173" s="1"/>
      <c r="H173" s="1"/>
      <c r="I173" s="1"/>
    </row>
    <row r="174" spans="1:9" customHeight="1">
      <c r="A174" s="1"/>
      <c r="B174" s="1"/>
      <c r="C174" s="1"/>
      <c r="D174" s="1"/>
      <c r="E174" s="1"/>
      <c r="F174" s="1"/>
      <c r="G174" s="1"/>
      <c r="H174" s="1"/>
      <c r="I174" s="1"/>
    </row>
    <row r="175" spans="1:9" customHeight="1">
      <c r="A175" s="1"/>
      <c r="B175" s="1"/>
      <c r="C175" s="1"/>
      <c r="D175" s="1"/>
      <c r="E175" s="1"/>
      <c r="F175" s="1"/>
      <c r="G175" s="1"/>
      <c r="H175" s="1"/>
      <c r="I175" s="1"/>
    </row>
    <row r="176" spans="1:9" customHeight="1">
      <c r="A176" s="1"/>
      <c r="B176" s="1"/>
      <c r="C176" s="1"/>
      <c r="D176" s="1"/>
      <c r="E176" s="1"/>
      <c r="F176" s="1"/>
      <c r="G176" s="1"/>
      <c r="H176" s="1"/>
      <c r="I176" s="1"/>
    </row>
    <row r="177" spans="1:9" customHeight="1">
      <c r="A177" s="1"/>
      <c r="B177" s="1"/>
      <c r="C177" s="1"/>
      <c r="D177" s="1"/>
      <c r="E177" s="1"/>
      <c r="F177" s="1"/>
      <c r="G177" s="1"/>
      <c r="H177" s="1"/>
      <c r="I177" s="1"/>
    </row>
    <row r="178" spans="1:9" customHeight="1">
      <c r="A178" s="1"/>
      <c r="B178" s="1"/>
      <c r="C178" s="1"/>
      <c r="D178" s="1"/>
      <c r="E178" s="1"/>
      <c r="F178" s="1"/>
      <c r="G178" s="1"/>
      <c r="H178" s="1"/>
      <c r="I178" s="1"/>
    </row>
    <row r="179" spans="1:9" customHeight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customHeight="1">
      <c r="A180" s="1"/>
      <c r="B180" s="1"/>
      <c r="C180" s="1"/>
      <c r="D180" s="1"/>
      <c r="E180" s="1"/>
      <c r="F180" s="1"/>
      <c r="G180" s="1"/>
      <c r="H180" s="1"/>
      <c r="I180" s="1"/>
    </row>
    <row r="181" spans="1:9" customHeight="1">
      <c r="A181" s="1"/>
      <c r="B181" s="1"/>
      <c r="C181" s="1"/>
      <c r="D181" s="1"/>
      <c r="E181" s="1"/>
      <c r="F181" s="1"/>
      <c r="G181" s="1"/>
      <c r="H181" s="1"/>
      <c r="I181" s="1"/>
    </row>
    <row r="182" spans="1:9" customHeight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customHeight="1">
      <c r="A183" s="1"/>
      <c r="B183" s="1"/>
      <c r="C183" s="1"/>
      <c r="D183" s="1"/>
      <c r="E183" s="1"/>
      <c r="F183" s="1"/>
      <c r="G183" s="1"/>
      <c r="H183" s="1"/>
      <c r="I183" s="1"/>
    </row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</sheetData>
  <mergeCells count="3">
    <mergeCell ref="D1:I3"/>
    <mergeCell ref="A101:D102"/>
    <mergeCell ref="A51:G52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4097" r:id="rId4">
          <objectPr defaultSize="0" r:id="rId5">
            <anchor moveWithCells="1" sizeWithCells="1">
              <from>
                <xdr:col>0</xdr:col>
                <xdr:colOff>37728</xdr:colOff>
                <xdr:row>0</xdr:row>
                <xdr:rowOff>38100</xdr:rowOff>
              </from>
              <to>
                <xdr:col>2</xdr:col>
                <xdr:colOff>314102</xdr:colOff>
                <xdr:row>3</xdr:row>
                <xdr:rowOff>9525</xdr:rowOff>
              </to>
            </anchor>
          </objectPr>
        </oleObject>
      </mc:Choice>
      <mc:Fallback>
        <oleObject progId="WordPad.Document.1" shapeId="4097" r:id="rId4"/>
      </mc:Fallback>
    </mc:AlternateContent>
  </oleObjects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E37"/>
  <sheetViews>
    <sheetView topLeftCell="A3" zoomScale="90" view="normal" workbookViewId="0">
      <selection pane="topLeft" activeCell="B23" sqref="B23"/>
    </sheetView>
  </sheetViews>
  <sheetFormatPr defaultRowHeight="15"/>
  <cols>
    <col min="1" max="1" width="30.75390625" customWidth="1"/>
    <col min="2" max="7" width="18.75390625" customWidth="1"/>
    <col min="8" max="10" width="15.75390625" customWidth="1"/>
  </cols>
  <sheetData>
    <row r="1" spans="1:5" ht="27" customHeight="1">
      <c r="A1" s="313" t="s">
        <v>123</v>
      </c>
      <c r="B1" s="291"/>
      <c r="C1" s="291"/>
      <c r="D1" s="291"/>
      <c r="E1" s="291"/>
    </row>
    <row r="2" spans="1:5" ht="17.25" customHeight="1">
      <c r="A2" s="311"/>
      <c r="B2" s="312"/>
      <c r="C2" s="312"/>
      <c r="D2" s="312"/>
      <c r="E2" s="312"/>
    </row>
    <row r="3" spans="1:5">
      <c r="A3" s="215" t="s">
        <v>166</v>
      </c>
      <c r="B3" s="308" t="str">
        <f>Assumptions!B60</f>
        <v>Mixed Residential Development</v>
      </c>
      <c r="C3" s="308" t="str">
        <f>Assumptions!B69</f>
        <v>Medium Scale Mixed Development</v>
      </c>
      <c r="D3" s="308" t="str">
        <f>Assumptions!B78</f>
        <v>Large Scale Mixed Development</v>
      </c>
      <c r="E3" s="308" t="str">
        <f>Assumptions!B87</f>
        <v>Small Scale Strategic Site</v>
      </c>
    </row>
    <row r="4" spans="1:5">
      <c r="A4" s="237" t="s">
        <v>162</v>
      </c>
      <c r="B4" s="309"/>
      <c r="C4" s="309"/>
      <c r="D4" s="309"/>
      <c r="E4" s="309"/>
    </row>
    <row r="5" spans="1:5">
      <c r="A5" s="216" t="str">
        <f>Assumptions!A13</f>
        <v>Malpas &amp; Bettws</v>
      </c>
      <c r="B5" s="314" t="s">
        <v>171</v>
      </c>
      <c r="C5" s="314" t="s">
        <v>172</v>
      </c>
      <c r="D5" s="314" t="s">
        <v>173</v>
      </c>
      <c r="E5" s="314" t="s">
        <v>174</v>
      </c>
    </row>
    <row r="6" spans="1:5">
      <c r="A6" s="217" t="str">
        <f>'Land Values'!A10</f>
        <v>Greenfield </v>
      </c>
      <c r="B6" s="85">
        <f>'Mixed Residential'!I66</f>
        <v>139.13559497213222</v>
      </c>
      <c r="C6" s="85">
        <f>'Medium Scale'!I66</f>
        <v>140.83475279277536</v>
      </c>
      <c r="D6" s="85">
        <f>'Large Scale'!I66</f>
        <v>138.84615545498863</v>
      </c>
      <c r="E6" s="85">
        <f>'Small Strategic'!I66</f>
        <v>137.32796684974943</v>
      </c>
    </row>
    <row r="7" spans="1:5">
      <c r="A7" s="217" t="str">
        <f>'Land Values'!A12</f>
        <v>Brownfield</v>
      </c>
      <c r="B7" s="85">
        <f>'Mixed Residential'!I134</f>
        <v>104.70517579787304</v>
      </c>
      <c r="C7" s="85">
        <f>'Medium Scale'!I134</f>
        <v>106.44957045285119</v>
      </c>
      <c r="D7" s="85">
        <f>'Large Scale'!I134</f>
        <v>104.45721090574588</v>
      </c>
      <c r="E7" s="85">
        <f>'Small Strategic'!I134</f>
        <v>102.9461512974469</v>
      </c>
    </row>
    <row r="8" spans="1:5" ht="0.75" customHeight="1">
      <c r="A8" s="217" t="str">
        <f>'Land Values'!A14</f>
        <v>Market Comparable</v>
      </c>
      <c r="B8" s="85">
        <f>'Mixed Residential'!I202</f>
        <v>0</v>
      </c>
      <c r="C8" s="85">
        <f>'Medium Scale'!I202</f>
        <v>0</v>
      </c>
      <c r="D8" s="85">
        <f>'Large Scale'!I202</f>
        <v>0</v>
      </c>
      <c r="E8" s="85">
        <f>'Small Strategic'!I202</f>
        <v>0</v>
      </c>
    </row>
    <row r="9" spans="1:5">
      <c r="A9" s="247" t="str">
        <f>Assumptions!A14</f>
        <v>Newport East </v>
      </c>
      <c r="B9" s="248"/>
      <c r="C9" s="249"/>
      <c r="D9" s="249"/>
      <c r="E9" s="249"/>
    </row>
    <row r="10" spans="1:5">
      <c r="A10" s="250" t="str">
        <f>A6</f>
        <v>Greenfield </v>
      </c>
      <c r="B10" s="248">
        <f>'Mixed Residential'!S66</f>
        <v>108.42818960522122</v>
      </c>
      <c r="C10" s="248">
        <f>'Medium Scale'!S66</f>
        <v>110.98928164229692</v>
      </c>
      <c r="D10" s="248">
        <f>'Large Scale'!S66</f>
        <v>107.96389724107665</v>
      </c>
      <c r="E10" s="248">
        <f>'Small Strategic'!S66</f>
        <v>105.56050688419387</v>
      </c>
    </row>
    <row r="11" spans="1:5" ht="13.5" customHeight="1">
      <c r="A11" s="250" t="str">
        <f>A7</f>
        <v>Brownfield</v>
      </c>
      <c r="B11" s="248">
        <f>'Mixed Residential'!S134</f>
        <v>71.558256028920951</v>
      </c>
      <c r="C11" s="248">
        <f>'Medium Scale'!S134</f>
        <v>73.976196093604571</v>
      </c>
      <c r="D11" s="248">
        <f>'Large Scale'!S134</f>
        <v>71.031883213833979</v>
      </c>
      <c r="E11" s="248">
        <f>'Small Strategic'!S134</f>
        <v>68.760773203242621</v>
      </c>
    </row>
    <row r="12" spans="1:5" ht="0.75" customHeight="1">
      <c r="A12" s="218" t="str">
        <f>A8</f>
        <v>Market Comparable</v>
      </c>
      <c r="B12" s="84">
        <f>'Mixed Residential'!S202</f>
        <v>0</v>
      </c>
      <c r="C12" s="84">
        <f>'Medium Scale'!S202</f>
        <v>0</v>
      </c>
      <c r="D12" s="84">
        <f>'Large Scale'!S202</f>
        <v>0</v>
      </c>
      <c r="E12" s="84">
        <f>'Small Strategic'!S202</f>
        <v>0</v>
      </c>
    </row>
    <row r="13" spans="1:5">
      <c r="A13" s="251" t="str">
        <f>Assumptions!A15</f>
        <v>Rog/Newport West </v>
      </c>
      <c r="B13" s="252"/>
      <c r="C13" s="252"/>
      <c r="D13" s="252"/>
      <c r="E13" s="252"/>
    </row>
    <row r="14" spans="1:5">
      <c r="A14" s="253" t="str">
        <f>A6</f>
        <v>Greenfield </v>
      </c>
      <c r="B14" s="252">
        <f>'Mixed Residential'!AC66</f>
        <v>76.207236932516679</v>
      </c>
      <c r="C14" s="252">
        <f>'Medium Scale'!AC66</f>
        <v>79.423058727902344</v>
      </c>
      <c r="D14" s="252">
        <f>'Large Scale'!AC66</f>
        <v>75.472314037030472</v>
      </c>
      <c r="E14" s="252">
        <f>'Small Strategic'!AC66</f>
        <v>72.330105466817</v>
      </c>
    </row>
    <row r="15" spans="1:5" ht="13.5" customHeight="1">
      <c r="A15" s="253" t="str">
        <f>A7</f>
        <v>Brownfield</v>
      </c>
      <c r="B15" s="252">
        <f>'Mixed Residential'!AC134</f>
        <v>39.337303356216474</v>
      </c>
      <c r="C15" s="252">
        <f>'Medium Scale'!AC134</f>
        <v>42.409973179210255</v>
      </c>
      <c r="D15" s="252">
        <f>'Large Scale'!AC134</f>
        <v>38.540300009787956</v>
      </c>
      <c r="E15" s="252">
        <f>'Small Strategic'!AC134</f>
        <v>35.53037178586564</v>
      </c>
    </row>
    <row r="16" spans="1:5" ht="0.75" customHeight="1">
      <c r="A16" s="219" t="str">
        <f>A8</f>
        <v>Market Comparable</v>
      </c>
      <c r="B16" s="178">
        <f>'Mixed Residential'!AC202</f>
        <v>0</v>
      </c>
      <c r="C16" s="178">
        <f>'Medium Scale'!AC202</f>
        <v>0</v>
      </c>
      <c r="D16" s="178">
        <f>'Large Scale'!AC202</f>
        <v>0</v>
      </c>
      <c r="E16" s="178">
        <f>'Small Strategic'!AC202</f>
        <v>0</v>
      </c>
    </row>
    <row r="17" spans="1:5">
      <c r="A17" s="254" t="str">
        <f>Assumptions!A16</f>
        <v>Caerleon/Rural</v>
      </c>
      <c r="B17" s="255"/>
      <c r="C17" s="255"/>
      <c r="D17" s="255"/>
      <c r="E17" s="255"/>
    </row>
    <row r="18" spans="1:5">
      <c r="A18" s="256" t="str">
        <f>A6</f>
        <v>Greenfield </v>
      </c>
      <c r="B18" s="255">
        <f>'Mixed Residential'!AM66</f>
        <v>122.36223248391036</v>
      </c>
      <c r="C18" s="255">
        <f>'Medium Scale'!AM66</f>
        <v>125.38166254047076</v>
      </c>
      <c r="D18" s="255">
        <f>'Large Scale'!AM66</f>
        <v>121.78493256739762</v>
      </c>
      <c r="E18" s="255">
        <f>'Small Strategic'!AM66</f>
        <v>118.93824626790999</v>
      </c>
    </row>
    <row r="19" spans="1:5">
      <c r="A19" s="256" t="str">
        <f>A7</f>
        <v>Brownfield</v>
      </c>
      <c r="B19" s="255">
        <f>'Mixed Residential'!AM134</f>
        <v>85.492298907609921</v>
      </c>
      <c r="C19" s="255">
        <f>'Medium Scale'!AM134</f>
        <v>88.36857699177861</v>
      </c>
      <c r="D19" s="255">
        <f>'Large Scale'!AM134</f>
        <v>84.852918540154818</v>
      </c>
      <c r="E19" s="255">
        <f>'Small Strategic'!AM134</f>
        <v>82.138512586958484</v>
      </c>
    </row>
    <row r="20" spans="1:5" ht="1.5" customHeight="1" hidden="1">
      <c r="A20" s="220" t="str">
        <f>A8</f>
        <v>Market Comparable</v>
      </c>
      <c r="B20" s="86">
        <f>'Mixed Residential'!AM202</f>
        <v>0</v>
      </c>
      <c r="C20" s="86">
        <f>'Medium Scale'!AM202</f>
        <v>0</v>
      </c>
      <c r="D20" s="86">
        <f>'Large Scale'!AM202</f>
        <v>0</v>
      </c>
      <c r="E20" s="86">
        <f>'Small Strategic'!AM202</f>
        <v>0</v>
      </c>
    </row>
    <row r="21" spans="1:5">
      <c r="A21" s="96"/>
      <c r="B21" s="149"/>
      <c r="C21" s="149"/>
      <c r="D21" s="149"/>
      <c r="E21" s="149"/>
    </row>
    <row r="22" spans="1:5" ht="15.75" thickBot="1">
      <c r="A22" s="221"/>
      <c r="B22" s="222"/>
      <c r="C22" s="222"/>
      <c r="D22" s="222"/>
      <c r="E22" s="222"/>
    </row>
    <row r="37" spans="5:5">
      <c r="E37" s="82"/>
    </row>
  </sheetData>
  <mergeCells count="4"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M316"/>
  <sheetViews>
    <sheetView topLeftCell="A95" zoomScale="60" view="normal" workbookViewId="0">
      <selection pane="topLeft" activeCell="K88" sqref="K88"/>
    </sheetView>
  </sheetViews>
  <sheetFormatPr defaultRowHeight="15"/>
  <cols>
    <col min="7" max="7" width="6.75390625" customWidth="1"/>
    <col min="9" max="9" width="12.75390625" customWidth="1"/>
    <col min="10" max="10" width="1.75390625" customWidth="1"/>
    <col min="17" max="17" width="6.75390625" customWidth="1"/>
    <col min="19" max="19" width="12.75390625" customWidth="1"/>
    <col min="20" max="20" width="1.75390625" customWidth="1"/>
    <col min="27" max="27" width="6.75390625" customWidth="1"/>
    <col min="29" max="29" width="12.75390625" customWidth="1"/>
    <col min="30" max="30" width="1.75390625" customWidth="1"/>
    <col min="37" max="37" width="6.75390625" customWidth="1"/>
    <col min="39" max="39" width="12.75390625" customWidth="1"/>
    <col min="40" max="40" width="1.75390625" customWidth="1"/>
    <col min="47" max="47" width="6.75390625" customWidth="1"/>
    <col min="49" max="49" width="12.75390625" customWidth="1"/>
  </cols>
  <sheetData>
    <row r="1" spans="1:39" ht="11.1" customHeight="1">
      <c r="A1" s="5"/>
      <c r="B1" s="14"/>
      <c r="C1" s="14"/>
      <c r="D1" s="56"/>
      <c r="E1" s="57"/>
      <c r="F1" s="57"/>
      <c r="G1" s="57"/>
      <c r="H1" s="57"/>
      <c r="I1" s="57"/>
      <c r="K1" s="5"/>
      <c r="L1" s="14"/>
      <c r="M1" s="14"/>
      <c r="N1" s="56"/>
      <c r="O1" s="57"/>
      <c r="P1" s="57"/>
      <c r="Q1" s="57"/>
      <c r="R1" s="57"/>
      <c r="S1" s="57"/>
      <c r="U1" s="5"/>
      <c r="V1" s="14"/>
      <c r="W1" s="14"/>
      <c r="X1" s="56"/>
      <c r="Y1" s="57"/>
      <c r="Z1" s="57"/>
      <c r="AA1" s="57"/>
      <c r="AB1" s="57"/>
      <c r="AC1" s="57"/>
      <c r="AE1" s="5"/>
      <c r="AF1" s="14"/>
      <c r="AG1" s="14"/>
      <c r="AH1" s="56"/>
      <c r="AI1" s="57"/>
      <c r="AJ1" s="57"/>
      <c r="AK1" s="57"/>
      <c r="AL1" s="57"/>
      <c r="AM1" s="57"/>
    </row>
    <row r="2" spans="1:39" ht="11.1" customHeight="1">
      <c r="A2" s="5"/>
      <c r="B2" s="5"/>
      <c r="C2" s="5"/>
      <c r="D2" s="310" t="s">
        <v>79</v>
      </c>
      <c r="E2" s="310"/>
      <c r="F2" s="310"/>
      <c r="G2" s="310"/>
      <c r="H2" s="310"/>
      <c r="I2" s="310"/>
      <c r="K2" s="5"/>
      <c r="L2" s="5"/>
      <c r="M2" s="5"/>
      <c r="N2" s="310" t="s">
        <v>79</v>
      </c>
      <c r="O2" s="310"/>
      <c r="P2" s="310"/>
      <c r="Q2" s="310"/>
      <c r="R2" s="310"/>
      <c r="S2" s="310"/>
      <c r="U2" s="5"/>
      <c r="V2" s="5"/>
      <c r="W2" s="5"/>
      <c r="X2" s="310" t="s">
        <v>79</v>
      </c>
      <c r="Y2" s="310"/>
      <c r="Z2" s="310"/>
      <c r="AA2" s="310"/>
      <c r="AB2" s="310"/>
      <c r="AC2" s="310"/>
      <c r="AE2" s="5"/>
      <c r="AF2" s="5"/>
      <c r="AG2" s="5"/>
      <c r="AH2" s="310" t="s">
        <v>79</v>
      </c>
      <c r="AI2" s="310"/>
      <c r="AJ2" s="310"/>
      <c r="AK2" s="310"/>
      <c r="AL2" s="310"/>
      <c r="AM2" s="310"/>
    </row>
    <row r="3" spans="1:39" ht="11.1" customHeight="1">
      <c r="A3" s="5"/>
      <c r="B3" s="5"/>
      <c r="C3" s="5"/>
      <c r="D3" s="310"/>
      <c r="E3" s="310"/>
      <c r="F3" s="310"/>
      <c r="G3" s="310"/>
      <c r="H3" s="310"/>
      <c r="I3" s="310"/>
      <c r="K3" s="5"/>
      <c r="L3" s="5"/>
      <c r="M3" s="5"/>
      <c r="N3" s="310"/>
      <c r="O3" s="310"/>
      <c r="P3" s="310"/>
      <c r="Q3" s="310"/>
      <c r="R3" s="310"/>
      <c r="S3" s="310"/>
      <c r="U3" s="5"/>
      <c r="V3" s="5"/>
      <c r="W3" s="5"/>
      <c r="X3" s="310"/>
      <c r="Y3" s="310"/>
      <c r="Z3" s="310"/>
      <c r="AA3" s="310"/>
      <c r="AB3" s="310"/>
      <c r="AC3" s="310"/>
      <c r="AE3" s="5"/>
      <c r="AF3" s="5"/>
      <c r="AG3" s="5"/>
      <c r="AH3" s="310"/>
      <c r="AI3" s="310"/>
      <c r="AJ3" s="310"/>
      <c r="AK3" s="310"/>
      <c r="AL3" s="310"/>
      <c r="AM3" s="310"/>
    </row>
    <row r="4" spans="1:39" ht="11.1" customHeight="1">
      <c r="A4" s="5"/>
      <c r="B4" s="5"/>
      <c r="C4" s="5"/>
      <c r="D4" s="310"/>
      <c r="E4" s="310"/>
      <c r="F4" s="310"/>
      <c r="G4" s="310"/>
      <c r="H4" s="310"/>
      <c r="I4" s="310"/>
      <c r="K4" s="5"/>
      <c r="L4" s="5"/>
      <c r="M4" s="5"/>
      <c r="N4" s="310"/>
      <c r="O4" s="310"/>
      <c r="P4" s="310"/>
      <c r="Q4" s="310"/>
      <c r="R4" s="310"/>
      <c r="S4" s="310"/>
      <c r="U4" s="5"/>
      <c r="V4" s="5"/>
      <c r="W4" s="5"/>
      <c r="X4" s="310"/>
      <c r="Y4" s="310"/>
      <c r="Z4" s="310"/>
      <c r="AA4" s="310"/>
      <c r="AB4" s="310"/>
      <c r="AC4" s="310"/>
      <c r="AE4" s="5"/>
      <c r="AF4" s="5"/>
      <c r="AG4" s="5"/>
      <c r="AH4" s="310"/>
      <c r="AI4" s="310"/>
      <c r="AJ4" s="310"/>
      <c r="AK4" s="310"/>
      <c r="AL4" s="310"/>
      <c r="AM4" s="310"/>
    </row>
    <row r="5" spans="1:39" ht="11.1" customHeight="1">
      <c r="A5" s="5"/>
      <c r="B5" s="5"/>
      <c r="C5" s="5"/>
      <c r="D5" s="58"/>
      <c r="E5" s="58"/>
      <c r="F5" s="58"/>
      <c r="G5" s="58"/>
      <c r="H5" s="58"/>
      <c r="I5" s="58"/>
      <c r="K5" s="5"/>
      <c r="L5" s="5"/>
      <c r="M5" s="5"/>
      <c r="N5" s="58"/>
      <c r="O5" s="58"/>
      <c r="P5" s="58"/>
      <c r="Q5" s="58"/>
      <c r="R5" s="58"/>
      <c r="S5" s="58"/>
      <c r="U5" s="5"/>
      <c r="V5" s="5"/>
      <c r="W5" s="5"/>
      <c r="X5" s="58"/>
      <c r="Y5" s="58"/>
      <c r="Z5" s="58"/>
      <c r="AA5" s="58"/>
      <c r="AB5" s="58"/>
      <c r="AC5" s="58"/>
      <c r="AE5" s="5"/>
      <c r="AF5" s="5"/>
      <c r="AG5" s="5"/>
      <c r="AH5" s="58"/>
      <c r="AI5" s="58"/>
      <c r="AJ5" s="58"/>
      <c r="AK5" s="58"/>
      <c r="AL5" s="58"/>
      <c r="AM5" s="58"/>
    </row>
    <row r="6" spans="1:39" ht="11.1" customHeight="1">
      <c r="A6" s="16" t="s">
        <v>0</v>
      </c>
      <c r="B6" s="16"/>
      <c r="C6" s="17"/>
      <c r="D6" s="30"/>
      <c r="E6" s="87" t="str">
        <f>Assumptions!$B$60</f>
        <v>Mixed Residential Development</v>
      </c>
      <c r="F6" s="66"/>
      <c r="G6" s="67"/>
      <c r="H6" s="66"/>
      <c r="I6" s="68"/>
      <c r="K6" s="16" t="s">
        <v>0</v>
      </c>
      <c r="L6" s="16"/>
      <c r="M6" s="17"/>
      <c r="N6" s="30"/>
      <c r="O6" s="87" t="str">
        <f>Assumptions!$B$60</f>
        <v>Mixed Residential Development</v>
      </c>
      <c r="P6" s="66"/>
      <c r="Q6" s="67"/>
      <c r="R6" s="66"/>
      <c r="S6" s="68"/>
      <c r="U6" s="16" t="s">
        <v>0</v>
      </c>
      <c r="V6" s="16"/>
      <c r="W6" s="17"/>
      <c r="X6" s="30"/>
      <c r="Y6" s="87" t="str">
        <f>Assumptions!$B$60</f>
        <v>Mixed Residential Development</v>
      </c>
      <c r="Z6" s="66"/>
      <c r="AA6" s="67"/>
      <c r="AB6" s="66"/>
      <c r="AC6" s="68"/>
      <c r="AE6" s="16" t="s">
        <v>0</v>
      </c>
      <c r="AF6" s="16"/>
      <c r="AG6" s="17"/>
      <c r="AH6" s="30"/>
      <c r="AI6" s="87" t="str">
        <f>Assumptions!$B$60</f>
        <v>Mixed Residential Development</v>
      </c>
      <c r="AJ6" s="66"/>
      <c r="AK6" s="67"/>
      <c r="AL6" s="66"/>
      <c r="AM6" s="68"/>
    </row>
    <row r="7" spans="1:39" ht="11.1" customHeight="1">
      <c r="A7" s="16" t="s">
        <v>1</v>
      </c>
      <c r="B7" s="17"/>
      <c r="C7" s="17"/>
      <c r="D7" s="30"/>
      <c r="E7" s="87" t="str">
        <f>'Land Values'!$A$10</f>
        <v>Greenfield </v>
      </c>
      <c r="F7" s="66"/>
      <c r="G7" s="66"/>
      <c r="H7" s="66"/>
      <c r="I7" s="69"/>
      <c r="K7" s="16" t="s">
        <v>1</v>
      </c>
      <c r="L7" s="17"/>
      <c r="M7" s="17"/>
      <c r="N7" s="30"/>
      <c r="O7" s="87" t="str">
        <f>'Land Values'!$A$10</f>
        <v>Greenfield </v>
      </c>
      <c r="P7" s="66"/>
      <c r="Q7" s="66"/>
      <c r="R7" s="66"/>
      <c r="S7" s="69"/>
      <c r="U7" s="16" t="s">
        <v>1</v>
      </c>
      <c r="V7" s="17"/>
      <c r="W7" s="17"/>
      <c r="X7" s="30"/>
      <c r="Y7" s="87" t="str">
        <f>'Land Values'!$A$10</f>
        <v>Greenfield </v>
      </c>
      <c r="Z7" s="66"/>
      <c r="AA7" s="66"/>
      <c r="AB7" s="66"/>
      <c r="AC7" s="69"/>
      <c r="AE7" s="16" t="s">
        <v>1</v>
      </c>
      <c r="AF7" s="17"/>
      <c r="AG7" s="17"/>
      <c r="AH7" s="30"/>
      <c r="AI7" s="87" t="str">
        <f>'Land Values'!$A$10</f>
        <v>Greenfield </v>
      </c>
      <c r="AJ7" s="66"/>
      <c r="AK7" s="66"/>
      <c r="AL7" s="66"/>
      <c r="AM7" s="69"/>
    </row>
    <row r="8" spans="1:39" ht="11.1" customHeight="1">
      <c r="A8" s="16" t="s">
        <v>2</v>
      </c>
      <c r="B8" s="16"/>
      <c r="C8" s="17"/>
      <c r="D8" s="30"/>
      <c r="E8" s="90" t="str">
        <f>Assumptions!$A$13</f>
        <v>Malpas &amp; Bettws</v>
      </c>
      <c r="F8" s="91"/>
      <c r="G8" s="92"/>
      <c r="H8" s="91"/>
      <c r="I8" s="93"/>
      <c r="K8" s="16" t="s">
        <v>2</v>
      </c>
      <c r="L8" s="16"/>
      <c r="M8" s="17"/>
      <c r="N8" s="30"/>
      <c r="O8" s="257" t="str">
        <f>Assumptions!$A$14</f>
        <v>Newport East </v>
      </c>
      <c r="P8" s="258"/>
      <c r="Q8" s="259"/>
      <c r="R8" s="258"/>
      <c r="S8" s="260"/>
      <c r="U8" s="16" t="s">
        <v>2</v>
      </c>
      <c r="V8" s="16"/>
      <c r="W8" s="17"/>
      <c r="X8" s="30"/>
      <c r="Y8" s="261" t="str">
        <f>Assumptions!$A$15</f>
        <v>Rog/Newport West </v>
      </c>
      <c r="Z8" s="262"/>
      <c r="AA8" s="263"/>
      <c r="AB8" s="262"/>
      <c r="AC8" s="264"/>
      <c r="AE8" s="16" t="s">
        <v>2</v>
      </c>
      <c r="AF8" s="16"/>
      <c r="AG8" s="17"/>
      <c r="AH8" s="30"/>
      <c r="AI8" s="265" t="str">
        <f>Assumptions!$A$16</f>
        <v>Caerleon/Rural</v>
      </c>
      <c r="AJ8" s="266"/>
      <c r="AK8" s="267"/>
      <c r="AL8" s="266"/>
      <c r="AM8" s="268"/>
    </row>
    <row r="9" spans="1:39" ht="11.1" customHeight="1">
      <c r="A9" s="16" t="s">
        <v>3</v>
      </c>
      <c r="B9" s="16"/>
      <c r="C9" s="17"/>
      <c r="D9" s="70">
        <f>Assumptions!$C$61</f>
        <v>200</v>
      </c>
      <c r="E9" s="55" t="s">
        <v>80</v>
      </c>
      <c r="F9" s="30"/>
      <c r="G9" s="55"/>
      <c r="H9" s="30"/>
      <c r="I9" s="55"/>
      <c r="K9" s="16" t="s">
        <v>3</v>
      </c>
      <c r="L9" s="16"/>
      <c r="M9" s="17"/>
      <c r="N9" s="70">
        <f>Assumptions!$C$61</f>
        <v>200</v>
      </c>
      <c r="O9" s="55" t="s">
        <v>80</v>
      </c>
      <c r="P9" s="30"/>
      <c r="Q9" s="55"/>
      <c r="R9" s="30"/>
      <c r="S9" s="55"/>
      <c r="U9" s="16" t="s">
        <v>3</v>
      </c>
      <c r="V9" s="16"/>
      <c r="W9" s="17"/>
      <c r="X9" s="70">
        <f>Assumptions!$C$61</f>
        <v>200</v>
      </c>
      <c r="Y9" s="55" t="s">
        <v>80</v>
      </c>
      <c r="Z9" s="30"/>
      <c r="AA9" s="55"/>
      <c r="AB9" s="30"/>
      <c r="AC9" s="55"/>
      <c r="AE9" s="16" t="s">
        <v>3</v>
      </c>
      <c r="AF9" s="16"/>
      <c r="AG9" s="17"/>
      <c r="AH9" s="70">
        <f>Assumptions!$C$61</f>
        <v>200</v>
      </c>
      <c r="AI9" s="55" t="s">
        <v>80</v>
      </c>
      <c r="AJ9" s="30"/>
      <c r="AK9" s="55"/>
      <c r="AL9" s="30"/>
      <c r="AM9" s="55"/>
    </row>
    <row r="10" spans="1:39" ht="11.1" customHeight="1">
      <c r="A10" s="16" t="s">
        <v>81</v>
      </c>
      <c r="B10" s="17"/>
      <c r="C10" s="17"/>
      <c r="D10" s="59">
        <f>Assumptions!$C$13</f>
        <v>0.1</v>
      </c>
      <c r="E10" s="60">
        <f>D9-H10</f>
        <v>180</v>
      </c>
      <c r="F10" s="55" t="s">
        <v>82</v>
      </c>
      <c r="G10" s="61"/>
      <c r="H10" s="30">
        <f>D9*D10</f>
        <v>20</v>
      </c>
      <c r="I10" s="55" t="s">
        <v>109</v>
      </c>
      <c r="K10" s="16" t="s">
        <v>81</v>
      </c>
      <c r="L10" s="17"/>
      <c r="M10" s="17"/>
      <c r="N10" s="59">
        <f>Assumptions!$C$14</f>
        <v>0.2</v>
      </c>
      <c r="O10" s="60">
        <f>N9-R10</f>
        <v>160</v>
      </c>
      <c r="P10" s="55" t="s">
        <v>82</v>
      </c>
      <c r="Q10" s="61"/>
      <c r="R10" s="30">
        <f>N9*N10</f>
        <v>40</v>
      </c>
      <c r="S10" s="55" t="s">
        <v>109</v>
      </c>
      <c r="U10" s="16" t="s">
        <v>81</v>
      </c>
      <c r="V10" s="17"/>
      <c r="W10" s="17"/>
      <c r="X10" s="59">
        <f>Assumptions!$C$15</f>
        <v>0.3</v>
      </c>
      <c r="Y10" s="60">
        <f>X9-AB10</f>
        <v>140</v>
      </c>
      <c r="Z10" s="55" t="s">
        <v>82</v>
      </c>
      <c r="AA10" s="61"/>
      <c r="AB10" s="30">
        <f>X9*X10</f>
        <v>60</v>
      </c>
      <c r="AC10" s="55" t="s">
        <v>109</v>
      </c>
      <c r="AE10" s="16" t="s">
        <v>81</v>
      </c>
      <c r="AF10" s="17"/>
      <c r="AG10" s="17"/>
      <c r="AH10" s="59">
        <f>Assumptions!$C$16</f>
        <v>0.4</v>
      </c>
      <c r="AI10" s="60">
        <f>AH9-AL10</f>
        <v>120</v>
      </c>
      <c r="AJ10" s="55" t="s">
        <v>82</v>
      </c>
      <c r="AK10" s="61"/>
      <c r="AL10" s="30">
        <f>AH9*AH10</f>
        <v>80</v>
      </c>
      <c r="AM10" s="55" t="s">
        <v>109</v>
      </c>
    </row>
    <row r="11" spans="1:39" ht="11.1" customHeight="1">
      <c r="A11" s="16" t="s">
        <v>84</v>
      </c>
      <c r="B11" s="17"/>
      <c r="C11" s="20">
        <f>Assumptions!$D$13</f>
        <v>1</v>
      </c>
      <c r="D11" s="30" t="s">
        <v>33</v>
      </c>
      <c r="E11" s="22">
        <f>Assumptions!$E$13</f>
        <v>0</v>
      </c>
      <c r="F11" s="30" t="s">
        <v>34</v>
      </c>
      <c r="G11" s="19"/>
      <c r="H11" s="20">
        <f>Assumptions!$F$13</f>
        <v>0</v>
      </c>
      <c r="I11" s="55" t="s">
        <v>108</v>
      </c>
      <c r="K11" s="16" t="s">
        <v>84</v>
      </c>
      <c r="L11" s="17"/>
      <c r="M11" s="20">
        <f>Assumptions!$D$14</f>
        <v>1</v>
      </c>
      <c r="N11" s="30" t="s">
        <v>33</v>
      </c>
      <c r="O11" s="22">
        <f>Assumptions!$E$14</f>
        <v>0</v>
      </c>
      <c r="P11" s="30" t="s">
        <v>34</v>
      </c>
      <c r="Q11" s="19"/>
      <c r="R11" s="20">
        <f>Assumptions!$F$14</f>
        <v>0</v>
      </c>
      <c r="S11" s="55" t="s">
        <v>108</v>
      </c>
      <c r="U11" s="16" t="s">
        <v>84</v>
      </c>
      <c r="V11" s="17"/>
      <c r="W11" s="20">
        <f>Assumptions!$D$15</f>
        <v>1</v>
      </c>
      <c r="X11" s="30" t="s">
        <v>33</v>
      </c>
      <c r="Y11" s="22">
        <f>Assumptions!$E$15</f>
        <v>0</v>
      </c>
      <c r="Z11" s="30" t="s">
        <v>34</v>
      </c>
      <c r="AA11" s="19"/>
      <c r="AB11" s="20">
        <f>Assumptions!$F$15</f>
        <v>0</v>
      </c>
      <c r="AC11" s="55" t="s">
        <v>108</v>
      </c>
      <c r="AE11" s="16" t="s">
        <v>84</v>
      </c>
      <c r="AF11" s="17"/>
      <c r="AG11" s="20">
        <f>Assumptions!$D$16</f>
        <v>1</v>
      </c>
      <c r="AH11" s="30" t="s">
        <v>33</v>
      </c>
      <c r="AI11" s="22">
        <f>Assumptions!$E$16</f>
        <v>0</v>
      </c>
      <c r="AJ11" s="30" t="s">
        <v>34</v>
      </c>
      <c r="AK11" s="19"/>
      <c r="AL11" s="20">
        <f>Assumptions!$F$16</f>
        <v>0</v>
      </c>
      <c r="AM11" s="55" t="s">
        <v>108</v>
      </c>
    </row>
    <row r="12" spans="1:39" ht="11.1" customHeight="1">
      <c r="A12" s="16" t="s">
        <v>85</v>
      </c>
      <c r="B12" s="17"/>
      <c r="C12" s="17"/>
      <c r="D12" s="23">
        <f>(A15*C15)+(A16*C16)+(A17*C17)+(A18*C18)+(A19*C19)</f>
        <v>18369</v>
      </c>
      <c r="E12" s="55" t="s">
        <v>86</v>
      </c>
      <c r="F12" s="19"/>
      <c r="G12" s="24">
        <f>SUM(A22*C22)+(A23*C23)+(A24*C24)+(A27*C27)+(A28*C28)+(A29*C29)+(A32*C32)+(A33*C33)+(A34*C34)</f>
        <v>1726</v>
      </c>
      <c r="H12" s="30" t="s">
        <v>87</v>
      </c>
      <c r="I12" s="19"/>
      <c r="K12" s="16" t="s">
        <v>85</v>
      </c>
      <c r="L12" s="17"/>
      <c r="M12" s="17"/>
      <c r="N12" s="23">
        <f>(K15*M15)+(K16*M16)+(K17*M17)+(K18*M18)+(K19*M19)</f>
        <v>16328</v>
      </c>
      <c r="O12" s="55" t="s">
        <v>86</v>
      </c>
      <c r="P12" s="19"/>
      <c r="Q12" s="24">
        <f>SUM(K22*M22)+(K23*M23)+(K24*M24)+(K27*M27)+(K28*M28)+(K29*M29)+(K32*M32)+(K33*M33)+(K34*M34)</f>
        <v>3452</v>
      </c>
      <c r="R12" s="30" t="s">
        <v>87</v>
      </c>
      <c r="S12" s="19"/>
      <c r="U12" s="16" t="s">
        <v>85</v>
      </c>
      <c r="V12" s="17"/>
      <c r="W12" s="17"/>
      <c r="X12" s="23">
        <f>(U15*W15)+(U16*W16)+(U17*W17)+(U18*W18)+(U19*W19)</f>
        <v>14287</v>
      </c>
      <c r="Y12" s="55" t="s">
        <v>86</v>
      </c>
      <c r="Z12" s="19"/>
      <c r="AA12" s="24">
        <f>SUM(U22*W22)+(U23*W23)+(U24*W24)+(U27*W27)+(U28*W28)+(U29*W29)+(U32*W32)+(U33*W33)+(U34*W34)</f>
        <v>5178</v>
      </c>
      <c r="AB12" s="30" t="s">
        <v>87</v>
      </c>
      <c r="AC12" s="19"/>
      <c r="AE12" s="16" t="s">
        <v>85</v>
      </c>
      <c r="AF12" s="17"/>
      <c r="AG12" s="17"/>
      <c r="AH12" s="23">
        <f>(AE15*AG15)+(AE16*AG16)+(AE17*AG17)+(AE18*AG18)+(AE19*AG19)</f>
        <v>12246</v>
      </c>
      <c r="AI12" s="55" t="s">
        <v>86</v>
      </c>
      <c r="AJ12" s="19"/>
      <c r="AK12" s="24">
        <f>SUM(AE22*AG22)+(AE23*AG23)+(AE24*AG24)+(AE27*AG27)+(AE28*AG28)+(AE29*AG29)+(AE32*AG32)+(AE33*AG33)+(AE34*AG34)</f>
        <v>6904</v>
      </c>
      <c r="AL12" s="30" t="s">
        <v>87</v>
      </c>
      <c r="AM12" s="19"/>
    </row>
    <row r="13" spans="1:39" ht="11.1" customHeight="1">
      <c r="A13" s="25" t="s">
        <v>4</v>
      </c>
      <c r="B13" s="26"/>
      <c r="C13" s="26"/>
      <c r="D13" s="26"/>
      <c r="E13" s="26"/>
      <c r="F13" s="26"/>
      <c r="G13" s="26"/>
      <c r="H13" s="26"/>
      <c r="I13" s="27"/>
      <c r="K13" s="25" t="s">
        <v>4</v>
      </c>
      <c r="L13" s="26"/>
      <c r="M13" s="26"/>
      <c r="N13" s="26"/>
      <c r="O13" s="26"/>
      <c r="P13" s="26"/>
      <c r="Q13" s="26"/>
      <c r="R13" s="26"/>
      <c r="S13" s="27"/>
      <c r="U13" s="25" t="s">
        <v>4</v>
      </c>
      <c r="V13" s="26"/>
      <c r="W13" s="26"/>
      <c r="X13" s="26"/>
      <c r="Y13" s="26"/>
      <c r="Z13" s="26"/>
      <c r="AA13" s="26"/>
      <c r="AB13" s="26"/>
      <c r="AC13" s="27"/>
      <c r="AE13" s="25" t="s">
        <v>4</v>
      </c>
      <c r="AF13" s="26"/>
      <c r="AG13" s="26"/>
      <c r="AH13" s="26"/>
      <c r="AI13" s="26"/>
      <c r="AJ13" s="26"/>
      <c r="AK13" s="26"/>
      <c r="AL13" s="26"/>
      <c r="AM13" s="27"/>
    </row>
    <row r="14" spans="1:39" ht="11.1" customHeight="1">
      <c r="A14" s="17" t="s">
        <v>88</v>
      </c>
      <c r="B14" s="17"/>
      <c r="C14" s="28"/>
      <c r="D14" s="28"/>
      <c r="E14" s="28"/>
      <c r="F14" s="28"/>
      <c r="G14" s="28"/>
      <c r="H14" s="28"/>
      <c r="I14" s="19"/>
      <c r="K14" s="17" t="s">
        <v>88</v>
      </c>
      <c r="L14" s="17"/>
      <c r="M14" s="28"/>
      <c r="N14" s="28"/>
      <c r="O14" s="28"/>
      <c r="P14" s="28"/>
      <c r="Q14" s="28"/>
      <c r="R14" s="28"/>
      <c r="S14" s="19"/>
      <c r="U14" s="17" t="s">
        <v>88</v>
      </c>
      <c r="V14" s="17"/>
      <c r="W14" s="28"/>
      <c r="X14" s="28"/>
      <c r="Y14" s="28"/>
      <c r="Z14" s="28"/>
      <c r="AA14" s="28"/>
      <c r="AB14" s="28"/>
      <c r="AC14" s="19"/>
      <c r="AE14" s="17" t="s">
        <v>88</v>
      </c>
      <c r="AF14" s="17"/>
      <c r="AG14" s="28"/>
      <c r="AH14" s="28"/>
      <c r="AI14" s="28"/>
      <c r="AJ14" s="28"/>
      <c r="AK14" s="28"/>
      <c r="AL14" s="28"/>
      <c r="AM14" s="19"/>
    </row>
    <row r="15" spans="1:39" ht="11.1" customHeight="1">
      <c r="A15" s="29">
        <f>E10*0</f>
        <v>0</v>
      </c>
      <c r="B15" s="30" t="s">
        <v>36</v>
      </c>
      <c r="C15" s="31">
        <f>Assumptions!$B$22</f>
        <v>61</v>
      </c>
      <c r="D15" s="32" t="s">
        <v>5</v>
      </c>
      <c r="E15" s="18">
        <f>Assumptions!$C$32</f>
        <v>1950</v>
      </c>
      <c r="F15" s="32" t="s">
        <v>6</v>
      </c>
      <c r="G15" s="28"/>
      <c r="H15" s="28"/>
      <c r="I15" s="33">
        <f>A15*C15*E15</f>
        <v>0</v>
      </c>
      <c r="K15" s="29">
        <f>O10*0</f>
        <v>0</v>
      </c>
      <c r="L15" s="30" t="s">
        <v>36</v>
      </c>
      <c r="M15" s="31">
        <f>Assumptions!$B$22</f>
        <v>61</v>
      </c>
      <c r="N15" s="32" t="s">
        <v>5</v>
      </c>
      <c r="O15" s="18">
        <f>Assumptions!$C$33</f>
        <v>1950</v>
      </c>
      <c r="P15" s="32" t="s">
        <v>6</v>
      </c>
      <c r="Q15" s="28"/>
      <c r="R15" s="28"/>
      <c r="S15" s="33">
        <f>K15*M15*O15</f>
        <v>0</v>
      </c>
      <c r="U15" s="29">
        <f>Y10*0</f>
        <v>0</v>
      </c>
      <c r="V15" s="30" t="s">
        <v>36</v>
      </c>
      <c r="W15" s="31">
        <f>Assumptions!$B$22</f>
        <v>61</v>
      </c>
      <c r="X15" s="32" t="s">
        <v>5</v>
      </c>
      <c r="Y15" s="18">
        <f>Assumptions!$C$34</f>
        <v>1950</v>
      </c>
      <c r="Z15" s="32" t="s">
        <v>6</v>
      </c>
      <c r="AA15" s="28"/>
      <c r="AB15" s="28"/>
      <c r="AC15" s="33">
        <f>U15*W15*Y15</f>
        <v>0</v>
      </c>
      <c r="AE15" s="29">
        <f>AI10*0</f>
        <v>0</v>
      </c>
      <c r="AF15" s="30" t="s">
        <v>36</v>
      </c>
      <c r="AG15" s="31">
        <f>Assumptions!$B$22</f>
        <v>61</v>
      </c>
      <c r="AH15" s="32" t="s">
        <v>5</v>
      </c>
      <c r="AI15" s="18">
        <f>Assumptions!$C$35</f>
        <v>2050</v>
      </c>
      <c r="AJ15" s="32" t="s">
        <v>6</v>
      </c>
      <c r="AK15" s="28"/>
      <c r="AL15" s="28"/>
      <c r="AM15" s="33">
        <f>AE15*AG15*AI15</f>
        <v>0</v>
      </c>
    </row>
    <row r="16" spans="1:39" ht="11.1" customHeight="1">
      <c r="A16" s="29">
        <f>E10*0.25</f>
        <v>45</v>
      </c>
      <c r="B16" s="30" t="s">
        <v>37</v>
      </c>
      <c r="C16" s="31">
        <f>Assumptions!$B$23</f>
        <v>75</v>
      </c>
      <c r="D16" s="32" t="s">
        <v>5</v>
      </c>
      <c r="E16" s="18">
        <f>Assumptions!$D$32</f>
        <v>1950</v>
      </c>
      <c r="F16" s="32" t="s">
        <v>6</v>
      </c>
      <c r="G16" s="28"/>
      <c r="H16" s="28"/>
      <c r="I16" s="33">
        <f>A16*C16*E16</f>
        <v>6581250</v>
      </c>
      <c r="K16" s="29">
        <f>O10*0.25</f>
        <v>40</v>
      </c>
      <c r="L16" s="30" t="s">
        <v>37</v>
      </c>
      <c r="M16" s="31">
        <f>Assumptions!$B$23</f>
        <v>75</v>
      </c>
      <c r="N16" s="32" t="s">
        <v>5</v>
      </c>
      <c r="O16" s="18">
        <f>Assumptions!$D$33</f>
        <v>1950</v>
      </c>
      <c r="P16" s="32" t="s">
        <v>6</v>
      </c>
      <c r="Q16" s="28"/>
      <c r="R16" s="28"/>
      <c r="S16" s="33">
        <f>K16*M16*O16</f>
        <v>5850000</v>
      </c>
      <c r="U16" s="29">
        <f>Y10*0.25</f>
        <v>35</v>
      </c>
      <c r="V16" s="30" t="s">
        <v>37</v>
      </c>
      <c r="W16" s="31">
        <f>Assumptions!$B$23</f>
        <v>75</v>
      </c>
      <c r="X16" s="32" t="s">
        <v>5</v>
      </c>
      <c r="Y16" s="18">
        <f>Assumptions!$D$34</f>
        <v>1950</v>
      </c>
      <c r="Z16" s="32" t="s">
        <v>6</v>
      </c>
      <c r="AA16" s="28"/>
      <c r="AB16" s="28"/>
      <c r="AC16" s="33">
        <f>U16*W16*Y16</f>
        <v>5118750</v>
      </c>
      <c r="AE16" s="29">
        <f>AI10*0.25</f>
        <v>30</v>
      </c>
      <c r="AF16" s="30" t="s">
        <v>37</v>
      </c>
      <c r="AG16" s="31">
        <f>Assumptions!$B$23</f>
        <v>75</v>
      </c>
      <c r="AH16" s="32" t="s">
        <v>5</v>
      </c>
      <c r="AI16" s="18">
        <f>Assumptions!$D$35</f>
        <v>2050</v>
      </c>
      <c r="AJ16" s="32" t="s">
        <v>6</v>
      </c>
      <c r="AK16" s="28"/>
      <c r="AL16" s="28"/>
      <c r="AM16" s="33">
        <f>AE16*AG16*AI16</f>
        <v>4612500</v>
      </c>
    </row>
    <row r="17" spans="1:39" ht="11.1" customHeight="1">
      <c r="A17" s="29">
        <f>E10*0.35</f>
        <v>62.999999999999993</v>
      </c>
      <c r="B17" s="30" t="s">
        <v>38</v>
      </c>
      <c r="C17" s="31">
        <f>Assumptions!$B$24</f>
        <v>88</v>
      </c>
      <c r="D17" s="32" t="s">
        <v>5</v>
      </c>
      <c r="E17" s="18">
        <f>Assumptions!$E$32</f>
        <v>1950</v>
      </c>
      <c r="F17" s="32" t="s">
        <v>6</v>
      </c>
      <c r="G17" s="28"/>
      <c r="H17" s="28"/>
      <c r="I17" s="33">
        <f>A17*C17*E17</f>
        <v>10810799.999999998</v>
      </c>
      <c r="K17" s="29">
        <f>O10*0.35</f>
        <v>56</v>
      </c>
      <c r="L17" s="30" t="s">
        <v>38</v>
      </c>
      <c r="M17" s="31">
        <f>Assumptions!$B$24</f>
        <v>88</v>
      </c>
      <c r="N17" s="32" t="s">
        <v>5</v>
      </c>
      <c r="O17" s="18">
        <f>Assumptions!$E$33</f>
        <v>1950</v>
      </c>
      <c r="P17" s="32" t="s">
        <v>6</v>
      </c>
      <c r="Q17" s="28"/>
      <c r="R17" s="28"/>
      <c r="S17" s="33">
        <f>K17*M17*O17</f>
        <v>9609600</v>
      </c>
      <c r="U17" s="29">
        <f>Y10*0.35</f>
        <v>49</v>
      </c>
      <c r="V17" s="30" t="s">
        <v>38</v>
      </c>
      <c r="W17" s="31">
        <f>Assumptions!$B$24</f>
        <v>88</v>
      </c>
      <c r="X17" s="32" t="s">
        <v>5</v>
      </c>
      <c r="Y17" s="18">
        <f>Assumptions!$E$34</f>
        <v>1950</v>
      </c>
      <c r="Z17" s="32" t="s">
        <v>6</v>
      </c>
      <c r="AA17" s="28"/>
      <c r="AB17" s="28"/>
      <c r="AC17" s="33">
        <f>U17*W17*Y17</f>
        <v>8408400</v>
      </c>
      <c r="AE17" s="29">
        <f>AI10*0.35</f>
        <v>42</v>
      </c>
      <c r="AF17" s="30" t="s">
        <v>38</v>
      </c>
      <c r="AG17" s="31">
        <f>Assumptions!$B$24</f>
        <v>88</v>
      </c>
      <c r="AH17" s="32" t="s">
        <v>5</v>
      </c>
      <c r="AI17" s="18">
        <f>Assumptions!$E$35</f>
        <v>2050</v>
      </c>
      <c r="AJ17" s="32" t="s">
        <v>6</v>
      </c>
      <c r="AK17" s="28"/>
      <c r="AL17" s="28"/>
      <c r="AM17" s="33">
        <f>AE17*AG17*AI17</f>
        <v>7576800</v>
      </c>
    </row>
    <row r="18" spans="1:39" ht="11.1" customHeight="1">
      <c r="A18" s="29">
        <f>E10*0.25</f>
        <v>45</v>
      </c>
      <c r="B18" s="30" t="s">
        <v>39</v>
      </c>
      <c r="C18" s="31">
        <f>Assumptions!$B$25</f>
        <v>120</v>
      </c>
      <c r="D18" s="32" t="s">
        <v>5</v>
      </c>
      <c r="E18" s="18">
        <f>Assumptions!$F$32</f>
        <v>1950</v>
      </c>
      <c r="F18" s="32" t="s">
        <v>6</v>
      </c>
      <c r="G18" s="28"/>
      <c r="H18" s="28"/>
      <c r="I18" s="33">
        <f>A18*C18*E18</f>
        <v>10530000</v>
      </c>
      <c r="K18" s="29">
        <f>O10*0.25</f>
        <v>40</v>
      </c>
      <c r="L18" s="30" t="s">
        <v>39</v>
      </c>
      <c r="M18" s="31">
        <f>Assumptions!$B$25</f>
        <v>120</v>
      </c>
      <c r="N18" s="32" t="s">
        <v>5</v>
      </c>
      <c r="O18" s="18">
        <f>Assumptions!$F$33</f>
        <v>1950</v>
      </c>
      <c r="P18" s="32" t="s">
        <v>6</v>
      </c>
      <c r="Q18" s="28"/>
      <c r="R18" s="28"/>
      <c r="S18" s="33">
        <f>K18*M18*O18</f>
        <v>9360000</v>
      </c>
      <c r="U18" s="29">
        <f>Y10*0.25</f>
        <v>35</v>
      </c>
      <c r="V18" s="30" t="s">
        <v>39</v>
      </c>
      <c r="W18" s="31">
        <f>Assumptions!$B$25</f>
        <v>120</v>
      </c>
      <c r="X18" s="32" t="s">
        <v>5</v>
      </c>
      <c r="Y18" s="18">
        <f>Assumptions!$F$34</f>
        <v>1950</v>
      </c>
      <c r="Z18" s="32" t="s">
        <v>6</v>
      </c>
      <c r="AA18" s="28"/>
      <c r="AB18" s="28"/>
      <c r="AC18" s="33">
        <f>U18*W18*Y18</f>
        <v>8190000</v>
      </c>
      <c r="AE18" s="29">
        <f>AI10*0.25</f>
        <v>30</v>
      </c>
      <c r="AF18" s="30" t="s">
        <v>39</v>
      </c>
      <c r="AG18" s="31">
        <f>Assumptions!$B$25</f>
        <v>120</v>
      </c>
      <c r="AH18" s="32" t="s">
        <v>5</v>
      </c>
      <c r="AI18" s="18">
        <f>Assumptions!$F$35</f>
        <v>2050</v>
      </c>
      <c r="AJ18" s="32" t="s">
        <v>6</v>
      </c>
      <c r="AK18" s="28"/>
      <c r="AL18" s="28"/>
      <c r="AM18" s="33">
        <f>AE18*AG18*AI18</f>
        <v>7380000</v>
      </c>
    </row>
    <row r="19" spans="1:39" ht="11.1" customHeight="1">
      <c r="A19" s="29">
        <f>E10*0.15</f>
        <v>27</v>
      </c>
      <c r="B19" s="30" t="s">
        <v>40</v>
      </c>
      <c r="C19" s="18">
        <f>Assumptions!$B$26</f>
        <v>150</v>
      </c>
      <c r="D19" s="32" t="s">
        <v>5</v>
      </c>
      <c r="E19" s="18">
        <f>Assumptions!$G$32</f>
        <v>1950</v>
      </c>
      <c r="F19" s="32" t="s">
        <v>6</v>
      </c>
      <c r="G19" s="28"/>
      <c r="H19" s="28"/>
      <c r="I19" s="33">
        <f>A19*C19*E19</f>
        <v>7897500</v>
      </c>
      <c r="K19" s="29">
        <f>O10*0.15</f>
        <v>24</v>
      </c>
      <c r="L19" s="30" t="s">
        <v>40</v>
      </c>
      <c r="M19" s="18">
        <f>Assumptions!$B$26</f>
        <v>150</v>
      </c>
      <c r="N19" s="32" t="s">
        <v>5</v>
      </c>
      <c r="O19" s="18">
        <f>Assumptions!$G$33</f>
        <v>1950</v>
      </c>
      <c r="P19" s="32" t="s">
        <v>6</v>
      </c>
      <c r="Q19" s="28"/>
      <c r="R19" s="28"/>
      <c r="S19" s="33">
        <f>K19*M19*O19</f>
        <v>7020000</v>
      </c>
      <c r="U19" s="29">
        <f>Y10*0.15</f>
        <v>21</v>
      </c>
      <c r="V19" s="30" t="s">
        <v>40</v>
      </c>
      <c r="W19" s="18">
        <f>Assumptions!$B$26</f>
        <v>150</v>
      </c>
      <c r="X19" s="32" t="s">
        <v>5</v>
      </c>
      <c r="Y19" s="18">
        <f>Assumptions!$G$34</f>
        <v>1950</v>
      </c>
      <c r="Z19" s="32" t="s">
        <v>6</v>
      </c>
      <c r="AA19" s="28"/>
      <c r="AB19" s="28"/>
      <c r="AC19" s="33">
        <f>U19*W19*Y19</f>
        <v>6142500</v>
      </c>
      <c r="AE19" s="29">
        <f>AI10*0.15</f>
        <v>18</v>
      </c>
      <c r="AF19" s="30" t="s">
        <v>40</v>
      </c>
      <c r="AG19" s="18">
        <f>Assumptions!$B$26</f>
        <v>150</v>
      </c>
      <c r="AH19" s="32" t="s">
        <v>5</v>
      </c>
      <c r="AI19" s="18">
        <f>Assumptions!$G$35</f>
        <v>2050</v>
      </c>
      <c r="AJ19" s="32" t="s">
        <v>6</v>
      </c>
      <c r="AK19" s="28"/>
      <c r="AL19" s="28"/>
      <c r="AM19" s="33">
        <f>AE19*AG19*AI19</f>
        <v>5535000</v>
      </c>
    </row>
    <row r="20" spans="1:39" ht="11.1" customHeight="1">
      <c r="A20" s="26"/>
      <c r="B20" s="26"/>
      <c r="C20" s="26"/>
      <c r="D20" s="34"/>
      <c r="E20" s="26"/>
      <c r="F20" s="34"/>
      <c r="G20" s="26"/>
      <c r="H20" s="26"/>
      <c r="I20" s="35"/>
      <c r="K20" s="26"/>
      <c r="L20" s="26"/>
      <c r="M20" s="26"/>
      <c r="N20" s="34"/>
      <c r="O20" s="26"/>
      <c r="P20" s="34"/>
      <c r="Q20" s="26"/>
      <c r="R20" s="26"/>
      <c r="S20" s="35"/>
      <c r="U20" s="26"/>
      <c r="V20" s="26"/>
      <c r="W20" s="26"/>
      <c r="X20" s="34"/>
      <c r="Y20" s="26"/>
      <c r="Z20" s="34"/>
      <c r="AA20" s="26"/>
      <c r="AB20" s="26"/>
      <c r="AC20" s="35"/>
      <c r="AE20" s="26"/>
      <c r="AF20" s="26"/>
      <c r="AG20" s="26"/>
      <c r="AH20" s="34"/>
      <c r="AI20" s="26"/>
      <c r="AJ20" s="34"/>
      <c r="AK20" s="26"/>
      <c r="AL20" s="26"/>
      <c r="AM20" s="35"/>
    </row>
    <row r="21" spans="1:39" ht="11.1" customHeight="1">
      <c r="A21" s="17" t="str">
        <f>Assumptions!$D$12</f>
        <v>Neutral Tenure</v>
      </c>
      <c r="B21" s="17"/>
      <c r="C21"/>
      <c r="D21"/>
      <c r="E21" s="28"/>
      <c r="F21" s="32"/>
      <c r="G21" s="28"/>
      <c r="H21" s="28"/>
      <c r="I21" s="36"/>
      <c r="J21"/>
      <c r="K21" s="17" t="str">
        <f>Assumptions!$D$12</f>
        <v>Neutral Tenure</v>
      </c>
      <c r="L21" s="17"/>
      <c r="M21"/>
      <c r="N21"/>
      <c r="O21" s="28"/>
      <c r="P21" s="32"/>
      <c r="Q21" s="28"/>
      <c r="R21" s="28"/>
      <c r="S21" s="36"/>
      <c r="T21"/>
      <c r="U21" s="17" t="str">
        <f>Assumptions!$D$12</f>
        <v>Neutral Tenure</v>
      </c>
      <c r="V21" s="17"/>
      <c r="W21"/>
      <c r="X21"/>
      <c r="Y21" s="28"/>
      <c r="Z21" s="32"/>
      <c r="AA21" s="28"/>
      <c r="AB21" s="28"/>
      <c r="AC21" s="36"/>
      <c r="AD21"/>
      <c r="AE21" s="17" t="str">
        <f>Assumptions!$D$12</f>
        <v>Neutral Tenure</v>
      </c>
      <c r="AF21" s="17"/>
      <c r="AG21"/>
      <c r="AH21"/>
      <c r="AI21" s="28"/>
      <c r="AJ21" s="32"/>
      <c r="AK21" s="28"/>
      <c r="AL21" s="28"/>
      <c r="AM21" s="36"/>
    </row>
    <row r="22" spans="1:39" ht="11.1" customHeight="1">
      <c r="A22" s="29">
        <f>H10*C11*Assumptions!$H$13</f>
        <v>0</v>
      </c>
      <c r="B22" s="30" t="s">
        <v>36</v>
      </c>
      <c r="C22" s="37">
        <f>Assumptions!$E$24</f>
        <v>65</v>
      </c>
      <c r="D22" s="32" t="s">
        <v>7</v>
      </c>
      <c r="E22" s="28">
        <f>Assumptions!$C$37</f>
        <v>921</v>
      </c>
      <c r="F22" s="32" t="s">
        <v>6</v>
      </c>
      <c r="G22" s="28"/>
      <c r="H22" s="28"/>
      <c r="I22" s="33">
        <f>A22*C22*E22</f>
        <v>0</v>
      </c>
      <c r="J22"/>
      <c r="K22" s="29">
        <f>R10*M11*Assumptions!$H$13</f>
        <v>0</v>
      </c>
      <c r="L22" s="30" t="s">
        <v>36</v>
      </c>
      <c r="M22" s="37">
        <f>Assumptions!$E$24</f>
        <v>65</v>
      </c>
      <c r="N22" s="32" t="s">
        <v>7</v>
      </c>
      <c r="O22" s="28">
        <f>Assumptions!$C$38</f>
        <v>925</v>
      </c>
      <c r="P22" s="32" t="s">
        <v>6</v>
      </c>
      <c r="Q22" s="28"/>
      <c r="R22" s="28"/>
      <c r="S22" s="33">
        <f>K22*M22*O22</f>
        <v>0</v>
      </c>
      <c r="T22"/>
      <c r="U22" s="29">
        <f>AB10*W11*Assumptions!$H$13</f>
        <v>0</v>
      </c>
      <c r="V22" s="30" t="s">
        <v>36</v>
      </c>
      <c r="W22" s="37">
        <f>Assumptions!$E$24</f>
        <v>65</v>
      </c>
      <c r="X22" s="32" t="s">
        <v>7</v>
      </c>
      <c r="Y22" s="28">
        <f>Assumptions!$C$39</f>
        <v>948</v>
      </c>
      <c r="Z22" s="32" t="s">
        <v>6</v>
      </c>
      <c r="AA22" s="28"/>
      <c r="AB22" s="28"/>
      <c r="AC22" s="33">
        <f>U22*W22*Y22</f>
        <v>0</v>
      </c>
      <c r="AD22"/>
      <c r="AE22" s="29">
        <f>AL10*AG11*Assumptions!$H$13</f>
        <v>0</v>
      </c>
      <c r="AF22" s="30" t="s">
        <v>36</v>
      </c>
      <c r="AG22" s="37">
        <f>Assumptions!$E$24</f>
        <v>65</v>
      </c>
      <c r="AH22" s="32" t="s">
        <v>7</v>
      </c>
      <c r="AI22" s="28">
        <f>Assumptions!$C$40</f>
        <v>1027</v>
      </c>
      <c r="AJ22" s="32" t="s">
        <v>6</v>
      </c>
      <c r="AK22" s="28"/>
      <c r="AL22" s="28"/>
      <c r="AM22" s="33">
        <f>AE22*AG22*AI22</f>
        <v>0</v>
      </c>
    </row>
    <row r="23" spans="1:39" ht="11.1" customHeight="1">
      <c r="A23" s="29">
        <f>H10*C11*Assumptions!$H$14</f>
        <v>14</v>
      </c>
      <c r="B23" s="30" t="s">
        <v>90</v>
      </c>
      <c r="C23" s="37">
        <f>Assumptions!$E$25</f>
        <v>83</v>
      </c>
      <c r="D23" s="32" t="s">
        <v>7</v>
      </c>
      <c r="E23" s="28">
        <f>Assumptions!$D$37</f>
        <v>891</v>
      </c>
      <c r="F23" s="32" t="s">
        <v>6</v>
      </c>
      <c r="G23" s="28"/>
      <c r="H23" s="28"/>
      <c r="I23" s="33">
        <f>A23*C23*E23</f>
        <v>1035342</v>
      </c>
      <c r="J23"/>
      <c r="K23" s="29">
        <f>R10*M11*Assumptions!$H$14</f>
        <v>28</v>
      </c>
      <c r="L23" s="30" t="s">
        <v>90</v>
      </c>
      <c r="M23" s="37">
        <f>Assumptions!$E$25</f>
        <v>83</v>
      </c>
      <c r="N23" s="32" t="s">
        <v>7</v>
      </c>
      <c r="O23" s="28">
        <f>Assumptions!$D$38</f>
        <v>898</v>
      </c>
      <c r="P23" s="32" t="s">
        <v>6</v>
      </c>
      <c r="Q23" s="28"/>
      <c r="R23" s="28"/>
      <c r="S23" s="33">
        <f>K23*M23*O23</f>
        <v>2086952</v>
      </c>
      <c r="T23"/>
      <c r="U23" s="29">
        <f>AB10*W11*Assumptions!$H$14</f>
        <v>42</v>
      </c>
      <c r="V23" s="30" t="s">
        <v>90</v>
      </c>
      <c r="W23" s="37">
        <f>Assumptions!$E$25</f>
        <v>83</v>
      </c>
      <c r="X23" s="32" t="s">
        <v>7</v>
      </c>
      <c r="Y23" s="28">
        <f>Assumptions!$D$39</f>
        <v>932</v>
      </c>
      <c r="Z23" s="32" t="s">
        <v>6</v>
      </c>
      <c r="AA23" s="28"/>
      <c r="AB23" s="28"/>
      <c r="AC23" s="33">
        <f>U23*W23*Y23</f>
        <v>3248952</v>
      </c>
      <c r="AD23"/>
      <c r="AE23" s="29">
        <f>AL10*AG11*Assumptions!$H$14</f>
        <v>56</v>
      </c>
      <c r="AF23" s="30" t="s">
        <v>90</v>
      </c>
      <c r="AG23" s="37">
        <f>Assumptions!$E$25</f>
        <v>83</v>
      </c>
      <c r="AH23" s="32" t="s">
        <v>7</v>
      </c>
      <c r="AI23" s="28">
        <f>Assumptions!$D$40</f>
        <v>1057</v>
      </c>
      <c r="AJ23" s="32" t="s">
        <v>6</v>
      </c>
      <c r="AK23" s="28"/>
      <c r="AL23" s="28"/>
      <c r="AM23" s="33">
        <f>AE23*AG23*AI23</f>
        <v>4912936</v>
      </c>
    </row>
    <row r="24" spans="1:39" ht="11.1" customHeight="1">
      <c r="A24" s="29">
        <f>H10*C11*Assumptions!$H$15</f>
        <v>6</v>
      </c>
      <c r="B24" s="30" t="s">
        <v>91</v>
      </c>
      <c r="C24" s="37">
        <f>Assumptions!$E$26</f>
        <v>94</v>
      </c>
      <c r="D24" s="32" t="s">
        <v>7</v>
      </c>
      <c r="E24" s="28">
        <f>Assumptions!$E$37</f>
        <v>848</v>
      </c>
      <c r="F24" s="32" t="s">
        <v>6</v>
      </c>
      <c r="G24" s="28"/>
      <c r="H24" s="28"/>
      <c r="I24" s="33">
        <f>A24*C24*E24</f>
        <v>478272</v>
      </c>
      <c r="J24"/>
      <c r="K24" s="29">
        <f>R10*M11*Assumptions!$H$15</f>
        <v>12</v>
      </c>
      <c r="L24" s="30" t="s">
        <v>91</v>
      </c>
      <c r="M24" s="37">
        <f>Assumptions!$E$26</f>
        <v>94</v>
      </c>
      <c r="N24" s="32" t="s">
        <v>7</v>
      </c>
      <c r="O24" s="28">
        <f>Assumptions!$E$38</f>
        <v>855</v>
      </c>
      <c r="P24" s="32" t="s">
        <v>6</v>
      </c>
      <c r="Q24" s="28"/>
      <c r="R24" s="28"/>
      <c r="S24" s="33">
        <f>K24*M24*O24</f>
        <v>964440</v>
      </c>
      <c r="T24"/>
      <c r="U24" s="29">
        <f>AB10*W11*Assumptions!$H$15</f>
        <v>18</v>
      </c>
      <c r="V24" s="30" t="s">
        <v>91</v>
      </c>
      <c r="W24" s="37">
        <f>Assumptions!$E$26</f>
        <v>94</v>
      </c>
      <c r="X24" s="32" t="s">
        <v>7</v>
      </c>
      <c r="Y24" s="28">
        <f>Assumptions!$E$39</f>
        <v>886</v>
      </c>
      <c r="Z24" s="32" t="s">
        <v>6</v>
      </c>
      <c r="AA24" s="28"/>
      <c r="AB24" s="28"/>
      <c r="AC24" s="33">
        <f>U24*W24*Y24</f>
        <v>1499112</v>
      </c>
      <c r="AD24"/>
      <c r="AE24" s="29">
        <f>AL10*AG11*Assumptions!$H$15</f>
        <v>24</v>
      </c>
      <c r="AF24" s="30" t="s">
        <v>91</v>
      </c>
      <c r="AG24" s="37">
        <f>Assumptions!$E$26</f>
        <v>94</v>
      </c>
      <c r="AH24" s="32" t="s">
        <v>7</v>
      </c>
      <c r="AI24" s="28">
        <f>Assumptions!$E$40</f>
        <v>1001</v>
      </c>
      <c r="AJ24" s="32" t="s">
        <v>6</v>
      </c>
      <c r="AK24" s="28"/>
      <c r="AL24" s="28"/>
      <c r="AM24" s="33">
        <f>AE24*AG24*AI24</f>
        <v>2258256</v>
      </c>
    </row>
    <row r="25" spans="1:39" ht="11.1" customHeight="1">
      <c r="A25" s="38"/>
      <c r="B25" s="26"/>
      <c r="C25" s="39"/>
      <c r="D25" s="34"/>
      <c r="E25" s="26"/>
      <c r="F25" s="34"/>
      <c r="G25" s="26"/>
      <c r="H25" s="26"/>
      <c r="I25" s="40"/>
      <c r="K25" s="38"/>
      <c r="L25" s="26"/>
      <c r="M25" s="39"/>
      <c r="N25" s="34"/>
      <c r="O25" s="26"/>
      <c r="P25" s="34"/>
      <c r="Q25" s="26"/>
      <c r="R25" s="26"/>
      <c r="S25" s="40"/>
      <c r="U25" s="38"/>
      <c r="V25" s="26"/>
      <c r="W25" s="39"/>
      <c r="X25" s="34"/>
      <c r="Y25" s="26"/>
      <c r="Z25" s="34"/>
      <c r="AA25" s="26"/>
      <c r="AB25" s="26"/>
      <c r="AC25" s="40"/>
      <c r="AE25" s="38"/>
      <c r="AF25" s="26"/>
      <c r="AG25" s="39"/>
      <c r="AH25" s="34"/>
      <c r="AI25" s="26"/>
      <c r="AJ25" s="34"/>
      <c r="AK25" s="26"/>
      <c r="AL25" s="26"/>
      <c r="AM25" s="40"/>
    </row>
    <row r="26" spans="1:39" ht="11.1" customHeight="1">
      <c r="A26" s="17" t="s">
        <v>92</v>
      </c>
      <c r="B26" s="17"/>
      <c r="C26" s="20">
        <f>Assumptions!$E$18</f>
        <v>0</v>
      </c>
      <c r="D26" s="32" t="s">
        <v>89</v>
      </c>
      <c r="E26" s="28"/>
      <c r="F26" s="32"/>
      <c r="G26" s="28"/>
      <c r="H26" s="28"/>
      <c r="I26" s="36"/>
      <c r="K26" s="17" t="s">
        <v>92</v>
      </c>
      <c r="L26" s="17"/>
      <c r="M26" s="20">
        <f>Assumptions!$E$18</f>
        <v>0</v>
      </c>
      <c r="N26" s="32" t="s">
        <v>89</v>
      </c>
      <c r="O26" s="28"/>
      <c r="P26" s="32"/>
      <c r="Q26" s="28"/>
      <c r="R26" s="28"/>
      <c r="S26" s="36"/>
      <c r="U26" s="17" t="s">
        <v>92</v>
      </c>
      <c r="V26" s="17"/>
      <c r="W26" s="20">
        <f>Assumptions!$E$18</f>
        <v>0</v>
      </c>
      <c r="X26" s="32" t="s">
        <v>89</v>
      </c>
      <c r="Y26" s="28"/>
      <c r="Z26" s="32"/>
      <c r="AA26" s="28"/>
      <c r="AB26" s="28"/>
      <c r="AC26" s="36"/>
      <c r="AE26" s="17" t="s">
        <v>92</v>
      </c>
      <c r="AF26" s="17"/>
      <c r="AG26" s="20">
        <f>Assumptions!$E$18</f>
        <v>0</v>
      </c>
      <c r="AH26" s="32" t="s">
        <v>89</v>
      </c>
      <c r="AI26" s="28"/>
      <c r="AJ26" s="32"/>
      <c r="AK26" s="28"/>
      <c r="AL26" s="28"/>
      <c r="AM26" s="36"/>
    </row>
    <row r="27" spans="1:39" ht="11.1" customHeight="1">
      <c r="A27" s="29">
        <f>H10*E11*0.3</f>
        <v>0</v>
      </c>
      <c r="B27" s="30" t="s">
        <v>36</v>
      </c>
      <c r="C27" s="37">
        <f>C15</f>
        <v>61</v>
      </c>
      <c r="D27" s="32" t="s">
        <v>93</v>
      </c>
      <c r="E27" s="28">
        <f>E15*C26</f>
        <v>0</v>
      </c>
      <c r="F27" s="32" t="s">
        <v>6</v>
      </c>
      <c r="G27" s="28"/>
      <c r="H27" s="28"/>
      <c r="I27" s="33">
        <f>A27*C27*E27</f>
        <v>0</v>
      </c>
      <c r="K27" s="29">
        <f>R10*O11*0.3</f>
        <v>0</v>
      </c>
      <c r="L27" s="30" t="s">
        <v>36</v>
      </c>
      <c r="M27" s="37">
        <f>M15</f>
        <v>61</v>
      </c>
      <c r="N27" s="32" t="s">
        <v>93</v>
      </c>
      <c r="O27" s="28">
        <f>O15*M26</f>
        <v>0</v>
      </c>
      <c r="P27" s="32" t="s">
        <v>6</v>
      </c>
      <c r="Q27" s="28"/>
      <c r="R27" s="28"/>
      <c r="S27" s="33">
        <f>K27*M27*O27</f>
        <v>0</v>
      </c>
      <c r="U27" s="29">
        <f>AB10*Y11*0.3</f>
        <v>0</v>
      </c>
      <c r="V27" s="30" t="s">
        <v>36</v>
      </c>
      <c r="W27" s="37">
        <f>W15</f>
        <v>61</v>
      </c>
      <c r="X27" s="32" t="s">
        <v>93</v>
      </c>
      <c r="Y27" s="28">
        <f>Y15*W26</f>
        <v>0</v>
      </c>
      <c r="Z27" s="32" t="s">
        <v>6</v>
      </c>
      <c r="AA27" s="28"/>
      <c r="AB27" s="28"/>
      <c r="AC27" s="33">
        <f>U27*W27*Y27</f>
        <v>0</v>
      </c>
      <c r="AE27" s="29">
        <f>AL10*AI11*0.3</f>
        <v>0</v>
      </c>
      <c r="AF27" s="30" t="s">
        <v>36</v>
      </c>
      <c r="AG27" s="37">
        <f>AG15</f>
        <v>61</v>
      </c>
      <c r="AH27" s="32" t="s">
        <v>93</v>
      </c>
      <c r="AI27" s="28">
        <f>AI15*AG26</f>
        <v>0</v>
      </c>
      <c r="AJ27" s="32" t="s">
        <v>6</v>
      </c>
      <c r="AK27" s="28"/>
      <c r="AL27" s="28"/>
      <c r="AM27" s="33">
        <f>AE27*AG27*AI27</f>
        <v>0</v>
      </c>
    </row>
    <row r="28" spans="1:39" ht="11.1" customHeight="1">
      <c r="A28" s="29">
        <f>H10*E11*0.5</f>
        <v>0</v>
      </c>
      <c r="B28" s="30" t="s">
        <v>90</v>
      </c>
      <c r="C28" s="37">
        <f>C16</f>
        <v>75</v>
      </c>
      <c r="D28" s="32" t="s">
        <v>93</v>
      </c>
      <c r="E28" s="28">
        <f>E16*C26</f>
        <v>0</v>
      </c>
      <c r="F28" s="32" t="s">
        <v>6</v>
      </c>
      <c r="G28" s="28"/>
      <c r="H28" s="28"/>
      <c r="I28" s="33">
        <f>A28*C28*E28</f>
        <v>0</v>
      </c>
      <c r="K28" s="29">
        <f>R10*O11*0.5</f>
        <v>0</v>
      </c>
      <c r="L28" s="30" t="s">
        <v>90</v>
      </c>
      <c r="M28" s="37">
        <f>M16</f>
        <v>75</v>
      </c>
      <c r="N28" s="32" t="s">
        <v>93</v>
      </c>
      <c r="O28" s="28">
        <f>O16*M26</f>
        <v>0</v>
      </c>
      <c r="P28" s="32" t="s">
        <v>6</v>
      </c>
      <c r="Q28" s="28"/>
      <c r="R28" s="28"/>
      <c r="S28" s="33">
        <f>K28*M28*O28</f>
        <v>0</v>
      </c>
      <c r="U28" s="29">
        <f>AB10*Y11*0.5</f>
        <v>0</v>
      </c>
      <c r="V28" s="30" t="s">
        <v>90</v>
      </c>
      <c r="W28" s="37">
        <f>W16</f>
        <v>75</v>
      </c>
      <c r="X28" s="32" t="s">
        <v>93</v>
      </c>
      <c r="Y28" s="28">
        <f>Y16*W26</f>
        <v>0</v>
      </c>
      <c r="Z28" s="32" t="s">
        <v>6</v>
      </c>
      <c r="AA28" s="28"/>
      <c r="AB28" s="28"/>
      <c r="AC28" s="33">
        <f>U28*W28*Y28</f>
        <v>0</v>
      </c>
      <c r="AE28" s="29">
        <f>AL10*AI11*0.5</f>
        <v>0</v>
      </c>
      <c r="AF28" s="30" t="s">
        <v>90</v>
      </c>
      <c r="AG28" s="37">
        <f>AG16</f>
        <v>75</v>
      </c>
      <c r="AH28" s="32" t="s">
        <v>93</v>
      </c>
      <c r="AI28" s="28">
        <f>AI16*AG26</f>
        <v>0</v>
      </c>
      <c r="AJ28" s="32" t="s">
        <v>6</v>
      </c>
      <c r="AK28" s="28"/>
      <c r="AL28" s="28"/>
      <c r="AM28" s="33">
        <f>AE28*AG28*AI28</f>
        <v>0</v>
      </c>
    </row>
    <row r="29" spans="1:39" ht="11.1" customHeight="1">
      <c r="A29" s="29">
        <f>H10*E11*0.2</f>
        <v>0</v>
      </c>
      <c r="B29" s="30" t="s">
        <v>91</v>
      </c>
      <c r="C29" s="37">
        <f>C17</f>
        <v>88</v>
      </c>
      <c r="D29" s="32" t="s">
        <v>93</v>
      </c>
      <c r="E29" s="28">
        <f>E17*C26</f>
        <v>0</v>
      </c>
      <c r="F29" s="32" t="s">
        <v>6</v>
      </c>
      <c r="G29" s="28"/>
      <c r="H29" s="28"/>
      <c r="I29" s="33">
        <f>A29*C29*E29</f>
        <v>0</v>
      </c>
      <c r="K29" s="29">
        <f>R10*O11*0.2</f>
        <v>0</v>
      </c>
      <c r="L29" s="30" t="s">
        <v>91</v>
      </c>
      <c r="M29" s="37">
        <f>M17</f>
        <v>88</v>
      </c>
      <c r="N29" s="32" t="s">
        <v>93</v>
      </c>
      <c r="O29" s="28">
        <f>O17*M26</f>
        <v>0</v>
      </c>
      <c r="P29" s="32" t="s">
        <v>6</v>
      </c>
      <c r="Q29" s="28"/>
      <c r="R29" s="28"/>
      <c r="S29" s="33">
        <f>K29*M29*O29</f>
        <v>0</v>
      </c>
      <c r="U29" s="29">
        <f>AB10*Y11*0.2</f>
        <v>0</v>
      </c>
      <c r="V29" s="30" t="s">
        <v>91</v>
      </c>
      <c r="W29" s="37">
        <f>W17</f>
        <v>88</v>
      </c>
      <c r="X29" s="32" t="s">
        <v>93</v>
      </c>
      <c r="Y29" s="28">
        <f>Y17*W26</f>
        <v>0</v>
      </c>
      <c r="Z29" s="32" t="s">
        <v>6</v>
      </c>
      <c r="AA29" s="28"/>
      <c r="AB29" s="28"/>
      <c r="AC29" s="33">
        <f>U29*W29*Y29</f>
        <v>0</v>
      </c>
      <c r="AE29" s="29">
        <f>AL10*AI11*0.2</f>
        <v>0</v>
      </c>
      <c r="AF29" s="30" t="s">
        <v>91</v>
      </c>
      <c r="AG29" s="37">
        <f>AG17</f>
        <v>88</v>
      </c>
      <c r="AH29" s="32" t="s">
        <v>93</v>
      </c>
      <c r="AI29" s="28">
        <f>AI17*AG26</f>
        <v>0</v>
      </c>
      <c r="AJ29" s="32" t="s">
        <v>6</v>
      </c>
      <c r="AK29" s="28"/>
      <c r="AL29" s="28"/>
      <c r="AM29" s="33">
        <f>AE29*AG29*AI29</f>
        <v>0</v>
      </c>
    </row>
    <row r="30" spans="1:39" ht="11.1" customHeight="1">
      <c r="A30" s="38"/>
      <c r="B30" s="26"/>
      <c r="C30" s="39"/>
      <c r="D30" s="34"/>
      <c r="E30" s="26"/>
      <c r="F30" s="34"/>
      <c r="G30" s="26"/>
      <c r="H30" s="26"/>
      <c r="I30" s="40"/>
      <c r="K30" s="38"/>
      <c r="L30" s="26"/>
      <c r="M30" s="39"/>
      <c r="N30" s="34"/>
      <c r="O30" s="26"/>
      <c r="P30" s="34"/>
      <c r="Q30" s="26"/>
      <c r="R30" s="26"/>
      <c r="S30" s="40"/>
      <c r="U30" s="38"/>
      <c r="V30" s="26"/>
      <c r="W30" s="39"/>
      <c r="X30" s="34"/>
      <c r="Y30" s="26"/>
      <c r="Z30" s="34"/>
      <c r="AA30" s="26"/>
      <c r="AB30" s="26"/>
      <c r="AC30" s="40"/>
      <c r="AE30" s="38"/>
      <c r="AF30" s="26"/>
      <c r="AG30" s="39"/>
      <c r="AH30" s="34"/>
      <c r="AI30" s="26"/>
      <c r="AJ30" s="34"/>
      <c r="AK30" s="26"/>
      <c r="AL30" s="26"/>
      <c r="AM30" s="40"/>
    </row>
    <row r="31" spans="1:39" ht="11.1" customHeight="1">
      <c r="A31" s="17" t="s">
        <v>94</v>
      </c>
      <c r="B31" s="17"/>
      <c r="C31" s="20">
        <f>Assumptions!$F$18</f>
        <v>0</v>
      </c>
      <c r="D31" s="32" t="s">
        <v>89</v>
      </c>
      <c r="E31" s="28"/>
      <c r="F31" s="32"/>
      <c r="G31" s="28"/>
      <c r="H31" s="28"/>
      <c r="I31" s="36"/>
      <c r="K31" s="17" t="s">
        <v>94</v>
      </c>
      <c r="L31" s="17"/>
      <c r="M31" s="20">
        <f>Assumptions!$F$18</f>
        <v>0</v>
      </c>
      <c r="N31" s="32" t="s">
        <v>89</v>
      </c>
      <c r="O31" s="28"/>
      <c r="P31" s="32"/>
      <c r="Q31" s="28"/>
      <c r="R31" s="28"/>
      <c r="S31" s="36"/>
      <c r="U31" s="17" t="s">
        <v>94</v>
      </c>
      <c r="V31" s="17"/>
      <c r="W31" s="20">
        <f>Assumptions!$F$18</f>
        <v>0</v>
      </c>
      <c r="X31" s="32" t="s">
        <v>89</v>
      </c>
      <c r="Y31" s="28"/>
      <c r="Z31" s="32"/>
      <c r="AA31" s="28"/>
      <c r="AB31" s="28"/>
      <c r="AC31" s="36"/>
      <c r="AE31" s="17" t="s">
        <v>94</v>
      </c>
      <c r="AF31" s="17"/>
      <c r="AG31" s="20">
        <f>Assumptions!$F$18</f>
        <v>0</v>
      </c>
      <c r="AH31" s="32" t="s">
        <v>89</v>
      </c>
      <c r="AI31" s="28"/>
      <c r="AJ31" s="32"/>
      <c r="AK31" s="28"/>
      <c r="AL31" s="28"/>
      <c r="AM31" s="36"/>
    </row>
    <row r="32" spans="1:39" ht="11.1" customHeight="1">
      <c r="A32" s="29">
        <f>H10*H11*0.3</f>
        <v>0</v>
      </c>
      <c r="B32" s="30" t="s">
        <v>36</v>
      </c>
      <c r="C32" s="37">
        <f>C15</f>
        <v>61</v>
      </c>
      <c r="D32" s="32" t="s">
        <v>93</v>
      </c>
      <c r="E32" s="28">
        <f>E15*C31</f>
        <v>0</v>
      </c>
      <c r="F32" s="32" t="s">
        <v>6</v>
      </c>
      <c r="G32" s="28"/>
      <c r="H32" s="28"/>
      <c r="I32" s="33">
        <f>A32*C32*E32</f>
        <v>0</v>
      </c>
      <c r="K32" s="29">
        <f>R10*R11*0.3</f>
        <v>0</v>
      </c>
      <c r="L32" s="30" t="s">
        <v>36</v>
      </c>
      <c r="M32" s="37">
        <f>M15</f>
        <v>61</v>
      </c>
      <c r="N32" s="32" t="s">
        <v>93</v>
      </c>
      <c r="O32" s="28">
        <f>O15*M31</f>
        <v>0</v>
      </c>
      <c r="P32" s="32" t="s">
        <v>6</v>
      </c>
      <c r="Q32" s="28"/>
      <c r="R32" s="28"/>
      <c r="S32" s="33">
        <f>K32*M32*O32</f>
        <v>0</v>
      </c>
      <c r="U32" s="29">
        <f>AB10*AB11*0.3</f>
        <v>0</v>
      </c>
      <c r="V32" s="30" t="s">
        <v>36</v>
      </c>
      <c r="W32" s="37">
        <f>W15</f>
        <v>61</v>
      </c>
      <c r="X32" s="32" t="s">
        <v>93</v>
      </c>
      <c r="Y32" s="28">
        <f>Y15*W31</f>
        <v>0</v>
      </c>
      <c r="Z32" s="32" t="s">
        <v>6</v>
      </c>
      <c r="AA32" s="28"/>
      <c r="AB32" s="28"/>
      <c r="AC32" s="33">
        <f>U32*W32*Y32</f>
        <v>0</v>
      </c>
      <c r="AE32" s="29">
        <f>AL10*AL11*0.3</f>
        <v>0</v>
      </c>
      <c r="AF32" s="30" t="s">
        <v>36</v>
      </c>
      <c r="AG32" s="37">
        <f>AG15</f>
        <v>61</v>
      </c>
      <c r="AH32" s="32" t="s">
        <v>93</v>
      </c>
      <c r="AI32" s="28">
        <f>AI15*AG31</f>
        <v>0</v>
      </c>
      <c r="AJ32" s="32" t="s">
        <v>6</v>
      </c>
      <c r="AK32" s="28"/>
      <c r="AL32" s="28"/>
      <c r="AM32" s="33">
        <f>AE32*AG32*AI32</f>
        <v>0</v>
      </c>
    </row>
    <row r="33" spans="1:39" ht="11.1" customHeight="1">
      <c r="A33" s="29">
        <f>H10*H11*0.5</f>
        <v>0</v>
      </c>
      <c r="B33" s="30" t="s">
        <v>90</v>
      </c>
      <c r="C33" s="37">
        <f>C16</f>
        <v>75</v>
      </c>
      <c r="D33" s="32" t="s">
        <v>93</v>
      </c>
      <c r="E33" s="28">
        <f>E16*C31</f>
        <v>0</v>
      </c>
      <c r="F33" s="32" t="s">
        <v>6</v>
      </c>
      <c r="G33" s="28"/>
      <c r="H33" s="28"/>
      <c r="I33" s="33">
        <f>A33*C33*E33</f>
        <v>0</v>
      </c>
      <c r="K33" s="29">
        <f>R10*R11*0.5</f>
        <v>0</v>
      </c>
      <c r="L33" s="30" t="s">
        <v>90</v>
      </c>
      <c r="M33" s="37">
        <f>M16</f>
        <v>75</v>
      </c>
      <c r="N33" s="32" t="s">
        <v>93</v>
      </c>
      <c r="O33" s="28">
        <f>O16*M31</f>
        <v>0</v>
      </c>
      <c r="P33" s="32" t="s">
        <v>6</v>
      </c>
      <c r="Q33" s="28"/>
      <c r="R33" s="28"/>
      <c r="S33" s="33">
        <f>K33*M33*O33</f>
        <v>0</v>
      </c>
      <c r="U33" s="29">
        <f>AB10*AB11*0.5</f>
        <v>0</v>
      </c>
      <c r="V33" s="30" t="s">
        <v>90</v>
      </c>
      <c r="W33" s="37">
        <f>W16</f>
        <v>75</v>
      </c>
      <c r="X33" s="32" t="s">
        <v>93</v>
      </c>
      <c r="Y33" s="28">
        <f>Y16*W31</f>
        <v>0</v>
      </c>
      <c r="Z33" s="32" t="s">
        <v>6</v>
      </c>
      <c r="AA33" s="28"/>
      <c r="AB33" s="28"/>
      <c r="AC33" s="33">
        <f>U33*W33*Y33</f>
        <v>0</v>
      </c>
      <c r="AE33" s="29">
        <f>AL10*AL11*0.5</f>
        <v>0</v>
      </c>
      <c r="AF33" s="30" t="s">
        <v>90</v>
      </c>
      <c r="AG33" s="37">
        <f>AG16</f>
        <v>75</v>
      </c>
      <c r="AH33" s="32" t="s">
        <v>93</v>
      </c>
      <c r="AI33" s="28">
        <f>AI16*AG31</f>
        <v>0</v>
      </c>
      <c r="AJ33" s="32" t="s">
        <v>6</v>
      </c>
      <c r="AK33" s="28"/>
      <c r="AL33" s="28"/>
      <c r="AM33" s="33">
        <f>AE33*AG33*AI33</f>
        <v>0</v>
      </c>
    </row>
    <row r="34" spans="1:39" ht="11.1" customHeight="1">
      <c r="A34" s="29">
        <f>H10*H11*0.2</f>
        <v>0</v>
      </c>
      <c r="B34" s="30" t="s">
        <v>91</v>
      </c>
      <c r="C34" s="37">
        <f>C17</f>
        <v>88</v>
      </c>
      <c r="D34" s="32" t="s">
        <v>93</v>
      </c>
      <c r="E34" s="28">
        <f>E17*C31</f>
        <v>0</v>
      </c>
      <c r="F34" s="32" t="s">
        <v>6</v>
      </c>
      <c r="G34" s="28"/>
      <c r="H34" s="28"/>
      <c r="I34" s="33">
        <f>A34*C34*E34</f>
        <v>0</v>
      </c>
      <c r="K34" s="29">
        <f>R10*R11*0.2</f>
        <v>0</v>
      </c>
      <c r="L34" s="30" t="s">
        <v>91</v>
      </c>
      <c r="M34" s="37">
        <f>M17</f>
        <v>88</v>
      </c>
      <c r="N34" s="32" t="s">
        <v>93</v>
      </c>
      <c r="O34" s="28">
        <f>O17*M31</f>
        <v>0</v>
      </c>
      <c r="P34" s="32" t="s">
        <v>6</v>
      </c>
      <c r="Q34" s="28"/>
      <c r="R34" s="28"/>
      <c r="S34" s="33">
        <f>K34*M34*O34</f>
        <v>0</v>
      </c>
      <c r="U34" s="29">
        <f>AB10*AB11*0.2</f>
        <v>0</v>
      </c>
      <c r="V34" s="30" t="s">
        <v>91</v>
      </c>
      <c r="W34" s="37">
        <f>W17</f>
        <v>88</v>
      </c>
      <c r="X34" s="32" t="s">
        <v>93</v>
      </c>
      <c r="Y34" s="28">
        <f>Y17*W31</f>
        <v>0</v>
      </c>
      <c r="Z34" s="32" t="s">
        <v>6</v>
      </c>
      <c r="AA34" s="28"/>
      <c r="AB34" s="28"/>
      <c r="AC34" s="33">
        <f>U34*W34*Y34</f>
        <v>0</v>
      </c>
      <c r="AE34" s="29">
        <f>AL10*AL11*0.2</f>
        <v>0</v>
      </c>
      <c r="AF34" s="30" t="s">
        <v>91</v>
      </c>
      <c r="AG34" s="37">
        <f>AG17</f>
        <v>88</v>
      </c>
      <c r="AH34" s="32" t="s">
        <v>93</v>
      </c>
      <c r="AI34" s="28">
        <f>AI17*AG31</f>
        <v>0</v>
      </c>
      <c r="AJ34" s="32" t="s">
        <v>6</v>
      </c>
      <c r="AK34" s="28"/>
      <c r="AL34" s="28"/>
      <c r="AM34" s="33">
        <f>AE34*AG34*AI34</f>
        <v>0</v>
      </c>
    </row>
    <row r="35" spans="1:39" ht="11.1" customHeight="1">
      <c r="A35" s="41">
        <f>SUM(A15:A34)</f>
        <v>200</v>
      </c>
      <c r="B35" s="34" t="s">
        <v>95</v>
      </c>
      <c r="C35" s="26"/>
      <c r="D35" s="26"/>
      <c r="E35" s="26"/>
      <c r="F35" s="26"/>
      <c r="G35" s="26"/>
      <c r="H35" s="26"/>
      <c r="I35" s="35"/>
      <c r="K35" s="41">
        <f>SUM(K15:K34)</f>
        <v>200</v>
      </c>
      <c r="L35" s="34" t="s">
        <v>95</v>
      </c>
      <c r="M35" s="26"/>
      <c r="N35" s="26"/>
      <c r="O35" s="26"/>
      <c r="P35" s="26"/>
      <c r="Q35" s="26"/>
      <c r="R35" s="26"/>
      <c r="S35" s="35"/>
      <c r="U35" s="41">
        <f>SUM(U15:U34)</f>
        <v>200</v>
      </c>
      <c r="V35" s="34" t="s">
        <v>95</v>
      </c>
      <c r="W35" s="26"/>
      <c r="X35" s="26"/>
      <c r="Y35" s="26"/>
      <c r="Z35" s="26"/>
      <c r="AA35" s="26"/>
      <c r="AB35" s="26"/>
      <c r="AC35" s="35"/>
      <c r="AE35" s="41">
        <f>SUM(AE15:AE34)</f>
        <v>200</v>
      </c>
      <c r="AF35" s="34" t="s">
        <v>95</v>
      </c>
      <c r="AG35" s="26"/>
      <c r="AH35" s="26"/>
      <c r="AI35" s="26"/>
      <c r="AJ35" s="26"/>
      <c r="AK35" s="26"/>
      <c r="AL35" s="26"/>
      <c r="AM35" s="35"/>
    </row>
    <row r="36" spans="1:39" ht="11.1" customHeight="1">
      <c r="A36" s="25" t="s">
        <v>4</v>
      </c>
      <c r="B36" s="26"/>
      <c r="C36" s="26"/>
      <c r="D36" s="26"/>
      <c r="E36" s="26"/>
      <c r="F36" s="26"/>
      <c r="G36" s="26"/>
      <c r="H36" s="26"/>
      <c r="I36" s="42">
        <f>SUM(I15:I34)</f>
        <v>37333164</v>
      </c>
      <c r="K36" s="25" t="s">
        <v>4</v>
      </c>
      <c r="L36" s="26"/>
      <c r="M36" s="26"/>
      <c r="N36" s="26"/>
      <c r="O36" s="26"/>
      <c r="P36" s="26"/>
      <c r="Q36" s="26"/>
      <c r="R36" s="26"/>
      <c r="S36" s="42">
        <f>SUM(S15:S34)</f>
        <v>34890992</v>
      </c>
      <c r="U36" s="25" t="s">
        <v>4</v>
      </c>
      <c r="V36" s="26"/>
      <c r="W36" s="26"/>
      <c r="X36" s="26"/>
      <c r="Y36" s="26"/>
      <c r="Z36" s="26"/>
      <c r="AA36" s="26"/>
      <c r="AB36" s="26"/>
      <c r="AC36" s="42">
        <f>SUM(AC15:AC34)</f>
        <v>32607714</v>
      </c>
      <c r="AE36" s="25" t="s">
        <v>4</v>
      </c>
      <c r="AF36" s="26"/>
      <c r="AG36" s="26"/>
      <c r="AH36" s="26"/>
      <c r="AI36" s="26"/>
      <c r="AJ36" s="26"/>
      <c r="AK36" s="26"/>
      <c r="AL36" s="26"/>
      <c r="AM36" s="42">
        <f>SUM(AM15:AM34)</f>
        <v>32275492</v>
      </c>
    </row>
    <row r="37" ht="11.1" customHeight="1"/>
    <row r="38" spans="1:39" ht="11.1" customHeight="1">
      <c r="A38" s="25" t="s">
        <v>8</v>
      </c>
      <c r="B38" s="26"/>
      <c r="C38" s="26"/>
      <c r="D38" s="26"/>
      <c r="E38" s="26"/>
      <c r="F38" s="26"/>
      <c r="G38" s="26"/>
      <c r="H38" s="26"/>
      <c r="I38" s="40"/>
      <c r="K38" s="25" t="s">
        <v>8</v>
      </c>
      <c r="L38" s="26"/>
      <c r="M38" s="26"/>
      <c r="N38" s="26"/>
      <c r="O38" s="26"/>
      <c r="P38" s="26"/>
      <c r="Q38" s="26"/>
      <c r="R38" s="26"/>
      <c r="S38" s="40"/>
      <c r="U38" s="25" t="s">
        <v>8</v>
      </c>
      <c r="V38" s="26"/>
      <c r="W38" s="26"/>
      <c r="X38" s="26"/>
      <c r="Y38" s="26"/>
      <c r="Z38" s="26"/>
      <c r="AA38" s="26"/>
      <c r="AB38" s="26"/>
      <c r="AC38" s="40"/>
      <c r="AE38" s="25" t="s">
        <v>8</v>
      </c>
      <c r="AF38" s="26"/>
      <c r="AG38" s="26"/>
      <c r="AH38" s="26"/>
      <c r="AI38" s="26"/>
      <c r="AJ38" s="26"/>
      <c r="AK38" s="26"/>
      <c r="AL38" s="26"/>
      <c r="AM38" s="40"/>
    </row>
    <row r="39" spans="1:39" ht="11.1" customHeight="1">
      <c r="A39" s="16" t="s">
        <v>9</v>
      </c>
      <c r="B39" s="30" t="s">
        <v>36</v>
      </c>
      <c r="C39" s="43">
        <f>A15</f>
        <v>0</v>
      </c>
      <c r="D39" s="32" t="s">
        <v>96</v>
      </c>
      <c r="E39" s="18">
        <f>'Land Values'!D$10</f>
        <v>6312.95</v>
      </c>
      <c r="F39" s="32" t="s">
        <v>97</v>
      </c>
      <c r="G39" s="28"/>
      <c r="H39" s="28"/>
      <c r="I39" s="33">
        <f>C39*E39</f>
        <v>0</v>
      </c>
      <c r="K39" s="16" t="s">
        <v>9</v>
      </c>
      <c r="L39" s="30" t="s">
        <v>36</v>
      </c>
      <c r="M39" s="43">
        <f>K15</f>
        <v>0</v>
      </c>
      <c r="N39" s="32" t="s">
        <v>96</v>
      </c>
      <c r="O39" s="18">
        <f>'Land Values'!E$10</f>
        <v>6312.95</v>
      </c>
      <c r="P39" s="32" t="s">
        <v>97</v>
      </c>
      <c r="Q39" s="28"/>
      <c r="R39" s="28"/>
      <c r="S39" s="33">
        <f>M39*O39</f>
        <v>0</v>
      </c>
      <c r="U39" s="16" t="s">
        <v>9</v>
      </c>
      <c r="V39" s="30" t="s">
        <v>36</v>
      </c>
      <c r="W39" s="43">
        <f>U15</f>
        <v>0</v>
      </c>
      <c r="X39" s="32" t="s">
        <v>96</v>
      </c>
      <c r="Y39" s="18">
        <f>'Land Values'!$F$10</f>
        <v>6312.95</v>
      </c>
      <c r="Z39" s="32" t="s">
        <v>97</v>
      </c>
      <c r="AA39" s="28"/>
      <c r="AB39" s="28"/>
      <c r="AC39" s="33">
        <f>W39*Y39</f>
        <v>0</v>
      </c>
      <c r="AE39" s="16" t="s">
        <v>9</v>
      </c>
      <c r="AF39" s="30" t="s">
        <v>36</v>
      </c>
      <c r="AG39" s="43">
        <f>AE15</f>
        <v>0</v>
      </c>
      <c r="AH39" s="32" t="s">
        <v>96</v>
      </c>
      <c r="AI39" s="18">
        <f>'Land Values'!$G$10</f>
        <v>7481.735</v>
      </c>
      <c r="AJ39" s="32" t="s">
        <v>97</v>
      </c>
      <c r="AK39" s="28"/>
      <c r="AL39" s="28"/>
      <c r="AM39" s="33">
        <f>AG39*AI39</f>
        <v>0</v>
      </c>
    </row>
    <row r="40" spans="1:39" ht="11.1" customHeight="1">
      <c r="A40" s="17"/>
      <c r="B40" s="30" t="s">
        <v>98</v>
      </c>
      <c r="C40" s="43">
        <f>A16</f>
        <v>45</v>
      </c>
      <c r="D40" s="32" t="s">
        <v>96</v>
      </c>
      <c r="E40" s="18">
        <f>'Land Values'!D$18</f>
        <v>15782.375</v>
      </c>
      <c r="F40" s="32" t="s">
        <v>97</v>
      </c>
      <c r="G40" s="28"/>
      <c r="H40" s="28"/>
      <c r="I40" s="33">
        <f>C40*E40</f>
        <v>710206.875</v>
      </c>
      <c r="K40" s="17"/>
      <c r="L40" s="30" t="s">
        <v>98</v>
      </c>
      <c r="M40" s="43">
        <f>K16</f>
        <v>40</v>
      </c>
      <c r="N40" s="32" t="s">
        <v>96</v>
      </c>
      <c r="O40" s="18">
        <f>'Land Values'!E$18</f>
        <v>15782.375</v>
      </c>
      <c r="P40" s="32" t="s">
        <v>97</v>
      </c>
      <c r="Q40" s="28"/>
      <c r="R40" s="28"/>
      <c r="S40" s="33">
        <f>M40*O40</f>
        <v>631295</v>
      </c>
      <c r="U40" s="17"/>
      <c r="V40" s="30" t="s">
        <v>98</v>
      </c>
      <c r="W40" s="43">
        <f>U16</f>
        <v>35</v>
      </c>
      <c r="X40" s="32" t="s">
        <v>96</v>
      </c>
      <c r="Y40" s="18">
        <f>'Land Values'!$F$18</f>
        <v>15782.375</v>
      </c>
      <c r="Z40" s="32" t="s">
        <v>97</v>
      </c>
      <c r="AA40" s="28"/>
      <c r="AB40" s="28"/>
      <c r="AC40" s="33">
        <f>W40*Y40</f>
        <v>552383.125</v>
      </c>
      <c r="AE40" s="17"/>
      <c r="AF40" s="30" t="s">
        <v>98</v>
      </c>
      <c r="AG40" s="43">
        <f>AE16</f>
        <v>30</v>
      </c>
      <c r="AH40" s="32" t="s">
        <v>96</v>
      </c>
      <c r="AI40" s="18">
        <f>'Land Values'!$G$18</f>
        <v>18704.3375</v>
      </c>
      <c r="AJ40" s="32" t="s">
        <v>97</v>
      </c>
      <c r="AK40" s="28"/>
      <c r="AL40" s="28"/>
      <c r="AM40" s="33">
        <f>AG40*AI40</f>
        <v>561130.125</v>
      </c>
    </row>
    <row r="41" spans="1:39" ht="11.1" customHeight="1">
      <c r="A41" s="17"/>
      <c r="B41" s="30" t="s">
        <v>91</v>
      </c>
      <c r="C41" s="43">
        <f>A17</f>
        <v>62.999999999999993</v>
      </c>
      <c r="D41" s="32" t="s">
        <v>96</v>
      </c>
      <c r="E41" s="18">
        <f>'Land Values'!D$26</f>
        <v>18037.000000000004</v>
      </c>
      <c r="F41" s="32" t="s">
        <v>97</v>
      </c>
      <c r="G41" s="28"/>
      <c r="H41" s="28"/>
      <c r="I41" s="33">
        <f>C41*E41</f>
        <v>1136331</v>
      </c>
      <c r="K41" s="17"/>
      <c r="L41" s="30" t="s">
        <v>91</v>
      </c>
      <c r="M41" s="43">
        <f>K17</f>
        <v>56</v>
      </c>
      <c r="N41" s="32" t="s">
        <v>96</v>
      </c>
      <c r="O41" s="18">
        <f>'Land Values'!E$26</f>
        <v>17808.428571428572</v>
      </c>
      <c r="P41" s="32" t="s">
        <v>97</v>
      </c>
      <c r="Q41" s="28"/>
      <c r="R41" s="28"/>
      <c r="S41" s="33">
        <f>M41*O41</f>
        <v>997272</v>
      </c>
      <c r="U41" s="17"/>
      <c r="V41" s="30" t="s">
        <v>91</v>
      </c>
      <c r="W41" s="43">
        <f>U17</f>
        <v>49</v>
      </c>
      <c r="X41" s="32" t="s">
        <v>96</v>
      </c>
      <c r="Y41" s="18">
        <f>'Land Values'!$F$26</f>
        <v>17808.428571428572</v>
      </c>
      <c r="Z41" s="32" t="s">
        <v>97</v>
      </c>
      <c r="AA41" s="28"/>
      <c r="AB41" s="28"/>
      <c r="AC41" s="33">
        <f>W41*Y41</f>
        <v>872613</v>
      </c>
      <c r="AE41" s="17"/>
      <c r="AF41" s="30" t="s">
        <v>91</v>
      </c>
      <c r="AG41" s="43">
        <f>AE17</f>
        <v>42</v>
      </c>
      <c r="AH41" s="32" t="s">
        <v>96</v>
      </c>
      <c r="AI41" s="18">
        <f>'Land Values'!$G$26</f>
        <v>21147.814285714285</v>
      </c>
      <c r="AJ41" s="32" t="s">
        <v>97</v>
      </c>
      <c r="AK41" s="28"/>
      <c r="AL41" s="28"/>
      <c r="AM41" s="33">
        <f>AG41*AI41</f>
        <v>888208.2</v>
      </c>
    </row>
    <row r="42" spans="1:39" ht="11.1" customHeight="1">
      <c r="A42" s="17"/>
      <c r="B42" s="30" t="s">
        <v>99</v>
      </c>
      <c r="C42" s="43">
        <f>A18</f>
        <v>45</v>
      </c>
      <c r="D42" s="32" t="s">
        <v>96</v>
      </c>
      <c r="E42" s="18">
        <f>'Land Values'!D$34</f>
        <v>25251.8</v>
      </c>
      <c r="F42" s="32" t="s">
        <v>97</v>
      </c>
      <c r="G42" s="28"/>
      <c r="H42" s="28"/>
      <c r="I42" s="33">
        <f>C42*E42</f>
        <v>1136331</v>
      </c>
      <c r="K42" s="17"/>
      <c r="L42" s="30" t="s">
        <v>99</v>
      </c>
      <c r="M42" s="43">
        <f>K18</f>
        <v>40</v>
      </c>
      <c r="N42" s="32" t="s">
        <v>96</v>
      </c>
      <c r="O42" s="18">
        <f>'Land Values'!E$34</f>
        <v>24931.8</v>
      </c>
      <c r="P42" s="32" t="s">
        <v>97</v>
      </c>
      <c r="Q42" s="28"/>
      <c r="R42" s="28"/>
      <c r="S42" s="33">
        <f>M42*O42</f>
        <v>997272</v>
      </c>
      <c r="U42" s="17"/>
      <c r="V42" s="30" t="s">
        <v>99</v>
      </c>
      <c r="W42" s="43">
        <f>U18</f>
        <v>35</v>
      </c>
      <c r="X42" s="32" t="s">
        <v>96</v>
      </c>
      <c r="Y42" s="18">
        <f>'Land Values'!$F$34</f>
        <v>24931.8</v>
      </c>
      <c r="Z42" s="32" t="s">
        <v>97</v>
      </c>
      <c r="AA42" s="28"/>
      <c r="AB42" s="28"/>
      <c r="AC42" s="33">
        <f>W42*Y42</f>
        <v>872613</v>
      </c>
      <c r="AE42" s="17"/>
      <c r="AF42" s="30" t="s">
        <v>99</v>
      </c>
      <c r="AG42" s="43">
        <f>AE18</f>
        <v>30</v>
      </c>
      <c r="AH42" s="32" t="s">
        <v>96</v>
      </c>
      <c r="AI42" s="18">
        <f>'Land Values'!$G$34</f>
        <v>29606.94</v>
      </c>
      <c r="AJ42" s="32" t="s">
        <v>97</v>
      </c>
      <c r="AK42" s="28"/>
      <c r="AL42" s="28"/>
      <c r="AM42" s="33">
        <f>AG42*AI42</f>
        <v>888208.2</v>
      </c>
    </row>
    <row r="43" spans="1:39" ht="11.1" customHeight="1">
      <c r="A43" s="4"/>
      <c r="B43" s="30" t="s">
        <v>100</v>
      </c>
      <c r="C43" s="43">
        <f>A19</f>
        <v>27</v>
      </c>
      <c r="D43" s="32" t="s">
        <v>96</v>
      </c>
      <c r="E43" s="18">
        <f>'Land Values'!D$42</f>
        <v>31564.75</v>
      </c>
      <c r="F43" s="32" t="s">
        <v>97</v>
      </c>
      <c r="G43" s="155" t="s">
        <v>126</v>
      </c>
      <c r="H43" s="156">
        <f>SUM(I39:I43)</f>
        <v>3835117.125</v>
      </c>
      <c r="I43" s="33">
        <f>C43*E43</f>
        <v>852248.25</v>
      </c>
      <c r="K43" s="4"/>
      <c r="L43" s="30" t="s">
        <v>100</v>
      </c>
      <c r="M43" s="43">
        <f>K19</f>
        <v>24</v>
      </c>
      <c r="N43" s="32" t="s">
        <v>96</v>
      </c>
      <c r="O43" s="18">
        <f>'Land Values'!E$42</f>
        <v>31164.75</v>
      </c>
      <c r="P43" s="32" t="s">
        <v>97</v>
      </c>
      <c r="Q43" s="155" t="s">
        <v>126</v>
      </c>
      <c r="R43" s="156">
        <f>SUM(S39:S43)</f>
        <v>3373793</v>
      </c>
      <c r="S43" s="33">
        <f>M43*O43</f>
        <v>747954</v>
      </c>
      <c r="U43" s="4"/>
      <c r="V43" s="30" t="s">
        <v>100</v>
      </c>
      <c r="W43" s="43">
        <f>U19</f>
        <v>21</v>
      </c>
      <c r="X43" s="32" t="s">
        <v>96</v>
      </c>
      <c r="Y43" s="18">
        <f>'Land Values'!$F$42</f>
        <v>31164.75</v>
      </c>
      <c r="Z43" s="32" t="s">
        <v>97</v>
      </c>
      <c r="AA43" s="155" t="s">
        <v>126</v>
      </c>
      <c r="AB43" s="156">
        <f>SUM(AC39:AC43)</f>
        <v>2952068.875</v>
      </c>
      <c r="AC43" s="33">
        <f>W43*Y43</f>
        <v>654459.75</v>
      </c>
      <c r="AE43" s="4"/>
      <c r="AF43" s="30" t="s">
        <v>100</v>
      </c>
      <c r="AG43" s="43">
        <f>AE19</f>
        <v>18</v>
      </c>
      <c r="AH43" s="32" t="s">
        <v>96</v>
      </c>
      <c r="AI43" s="18">
        <f>'Land Values'!$G$42</f>
        <v>37008.675</v>
      </c>
      <c r="AJ43" s="32" t="s">
        <v>97</v>
      </c>
      <c r="AK43" s="155" t="s">
        <v>126</v>
      </c>
      <c r="AL43" s="156">
        <f>SUM(AM39:AM43)</f>
        <v>3003702.675</v>
      </c>
      <c r="AM43" s="33">
        <f>AG43*AI43</f>
        <v>666156.15</v>
      </c>
    </row>
    <row r="44" spans="1:39" ht="11.1" customHeight="1">
      <c r="A44" s="17" t="s">
        <v>101</v>
      </c>
      <c r="B44" s="17"/>
      <c r="C44" s="28"/>
      <c r="D44" s="44"/>
      <c r="E44" s="45">
        <f>IF(H43&lt;125000,0%,IF(H43&lt;250000,1%,IF(H43&lt;500000,3%,IF(H43&lt;1000000,4%,IF(H43&gt;1000000,5%)))))</f>
        <v>0.05</v>
      </c>
      <c r="F44" s="32"/>
      <c r="G44" s="28"/>
      <c r="H44" s="28"/>
      <c r="I44" s="33">
        <f>SUM(I39:I43)*E44</f>
        <v>191755.85625</v>
      </c>
      <c r="K44" s="17" t="s">
        <v>101</v>
      </c>
      <c r="L44" s="17"/>
      <c r="M44" s="28"/>
      <c r="N44" s="44"/>
      <c r="O44" s="45">
        <f>IF(R43&lt;125000,0%,IF(R43&lt;250000,1%,IF(R43&lt;500000,3%,IF(R43&lt;1000000,4%,IF(R43&gt;1000000,5%)))))</f>
        <v>0.05</v>
      </c>
      <c r="P44" s="32"/>
      <c r="Q44" s="28"/>
      <c r="R44" s="28"/>
      <c r="S44" s="33">
        <f>SUM(S39:S43)*O44</f>
        <v>168689.65000000002</v>
      </c>
      <c r="U44" s="17" t="s">
        <v>101</v>
      </c>
      <c r="V44" s="17"/>
      <c r="W44" s="28"/>
      <c r="X44" s="44"/>
      <c r="Y44" s="45">
        <f>IF(AB43&lt;125000,0%,IF(AB43&lt;250000,1%,IF(AB43&lt;500000,3%,IF(AB43&lt;1000000,4%,IF(AB43&gt;1000000,5%)))))</f>
        <v>0.05</v>
      </c>
      <c r="Z44" s="32"/>
      <c r="AA44" s="28"/>
      <c r="AB44" s="28"/>
      <c r="AC44" s="33">
        <f>SUM(AC39:AC43)*Y44</f>
        <v>147603.44375</v>
      </c>
      <c r="AE44" s="17" t="s">
        <v>101</v>
      </c>
      <c r="AF44" s="17"/>
      <c r="AG44" s="28"/>
      <c r="AH44" s="44"/>
      <c r="AI44" s="45">
        <f>IF(AL43&lt;125000,0%,IF(AL43&lt;250000,1%,IF(AL43&lt;500000,3%,IF(AL43&lt;1000000,4%,IF(AL43&gt;1000000,5%)))))</f>
        <v>0.05</v>
      </c>
      <c r="AJ44" s="32"/>
      <c r="AK44" s="28"/>
      <c r="AL44" s="28"/>
      <c r="AM44" s="33">
        <f>SUM(AM39:AM43)*AI44</f>
        <v>150185.13375</v>
      </c>
    </row>
    <row r="45" spans="1:39" ht="11.1" customHeight="1">
      <c r="A45" s="25" t="s">
        <v>10</v>
      </c>
      <c r="B45" s="26"/>
      <c r="C45" s="26"/>
      <c r="D45" s="34"/>
      <c r="E45" s="26"/>
      <c r="F45" s="34"/>
      <c r="G45" s="26"/>
      <c r="H45" s="26"/>
      <c r="I45" s="40"/>
      <c r="K45" s="25" t="s">
        <v>10</v>
      </c>
      <c r="L45" s="26"/>
      <c r="M45" s="26"/>
      <c r="N45" s="34"/>
      <c r="O45" s="26"/>
      <c r="P45" s="34"/>
      <c r="Q45" s="26"/>
      <c r="R45" s="26"/>
      <c r="S45" s="40"/>
      <c r="U45" s="25" t="s">
        <v>10</v>
      </c>
      <c r="V45" s="26"/>
      <c r="W45" s="26"/>
      <c r="X45" s="34"/>
      <c r="Y45" s="26"/>
      <c r="Z45" s="34"/>
      <c r="AA45" s="26"/>
      <c r="AB45" s="26"/>
      <c r="AC45" s="40"/>
      <c r="AE45" s="25" t="s">
        <v>10</v>
      </c>
      <c r="AF45" s="26"/>
      <c r="AG45" s="26"/>
      <c r="AH45" s="34"/>
      <c r="AI45" s="26"/>
      <c r="AJ45" s="34"/>
      <c r="AK45" s="26"/>
      <c r="AL45" s="26"/>
      <c r="AM45" s="40"/>
    </row>
    <row r="46" spans="1:39" ht="11.1" customHeight="1">
      <c r="A46" s="29">
        <f>A15+A22+A27+A32</f>
        <v>0</v>
      </c>
      <c r="B46" s="30" t="s">
        <v>36</v>
      </c>
      <c r="C46" s="28"/>
      <c r="D46" s="32"/>
      <c r="E46" s="18">
        <f>Assumptions!$G$22</f>
        <v>1096</v>
      </c>
      <c r="F46" s="32" t="s">
        <v>6</v>
      </c>
      <c r="G46" s="46">
        <f>Assumptions!$D$22</f>
        <v>1.15</v>
      </c>
      <c r="H46" s="32" t="s">
        <v>11</v>
      </c>
      <c r="I46" s="33">
        <f>(A15*C15*E46*G46)+(A22*C22*E46*G46)</f>
        <v>0</v>
      </c>
      <c r="K46" s="29">
        <f>K15+K22+K27+K32</f>
        <v>0</v>
      </c>
      <c r="L46" s="30" t="s">
        <v>36</v>
      </c>
      <c r="M46" s="28"/>
      <c r="N46" s="32"/>
      <c r="O46" s="18">
        <f>Assumptions!$G$22</f>
        <v>1096</v>
      </c>
      <c r="P46" s="32" t="s">
        <v>6</v>
      </c>
      <c r="Q46" s="46">
        <f>Assumptions!$D$22</f>
        <v>1.15</v>
      </c>
      <c r="R46" s="32" t="s">
        <v>11</v>
      </c>
      <c r="S46" s="33">
        <f>(K15*M15*O46*Q46)+(K22*M22*O46*Q46)</f>
        <v>0</v>
      </c>
      <c r="U46" s="29">
        <f>U15+U22+U27+U32</f>
        <v>0</v>
      </c>
      <c r="V46" s="30" t="s">
        <v>36</v>
      </c>
      <c r="W46" s="28"/>
      <c r="X46" s="32"/>
      <c r="Y46" s="18">
        <f>Assumptions!$G$22</f>
        <v>1096</v>
      </c>
      <c r="Z46" s="32" t="s">
        <v>6</v>
      </c>
      <c r="AA46" s="46">
        <f>Assumptions!$D$22</f>
        <v>1.15</v>
      </c>
      <c r="AB46" s="32" t="s">
        <v>11</v>
      </c>
      <c r="AC46" s="33">
        <f>(U15*W15*Y46*AA46)+(U22*W22*Y46*AA46)</f>
        <v>0</v>
      </c>
      <c r="AE46" s="29">
        <f>AE15+AE22+AE27+AE32</f>
        <v>0</v>
      </c>
      <c r="AF46" s="30" t="s">
        <v>36</v>
      </c>
      <c r="AG46" s="28"/>
      <c r="AH46" s="32"/>
      <c r="AI46" s="18">
        <f>Assumptions!$G$22</f>
        <v>1096</v>
      </c>
      <c r="AJ46" s="32" t="s">
        <v>6</v>
      </c>
      <c r="AK46" s="46">
        <f>Assumptions!$D$22</f>
        <v>1.15</v>
      </c>
      <c r="AL46" s="32" t="s">
        <v>11</v>
      </c>
      <c r="AM46" s="33">
        <f>(AE15*AG15*AI46*AK46)+(AE22*AG22*AI46*AK46)</f>
        <v>0</v>
      </c>
    </row>
    <row r="47" spans="1:39" ht="11.1" customHeight="1">
      <c r="A47" s="29">
        <f>A16+A23+A28+A33</f>
        <v>59</v>
      </c>
      <c r="B47" s="30" t="s">
        <v>102</v>
      </c>
      <c r="C47" s="28"/>
      <c r="D47" s="32"/>
      <c r="E47" s="18">
        <f>Assumptions!$G$23</f>
        <v>899</v>
      </c>
      <c r="F47" s="32" t="s">
        <v>6</v>
      </c>
      <c r="G47" s="28"/>
      <c r="H47" s="28"/>
      <c r="I47" s="33">
        <f>(A16*C16*E47)+(A23*C23*E47)</f>
        <v>4078763</v>
      </c>
      <c r="K47" s="29">
        <f>K16+K23+K28+K33</f>
        <v>68</v>
      </c>
      <c r="L47" s="30" t="s">
        <v>102</v>
      </c>
      <c r="M47" s="28"/>
      <c r="N47" s="32"/>
      <c r="O47" s="18">
        <f>Assumptions!$G$23</f>
        <v>899</v>
      </c>
      <c r="P47" s="32" t="s">
        <v>6</v>
      </c>
      <c r="Q47" s="28"/>
      <c r="R47" s="28"/>
      <c r="S47" s="33">
        <f>(K16*M16*O47)+(K23*M23*O47)</f>
        <v>4786276</v>
      </c>
      <c r="U47" s="29">
        <f>U16+U23+U28+U33</f>
        <v>77</v>
      </c>
      <c r="V47" s="30" t="s">
        <v>102</v>
      </c>
      <c r="W47" s="28"/>
      <c r="X47" s="32"/>
      <c r="Y47" s="18">
        <f>Assumptions!$G$23</f>
        <v>899</v>
      </c>
      <c r="Z47" s="32" t="s">
        <v>6</v>
      </c>
      <c r="AA47" s="28"/>
      <c r="AB47" s="28"/>
      <c r="AC47" s="33">
        <f>(U16*W16*Y47)+(U23*W23*Y47)</f>
        <v>5493789</v>
      </c>
      <c r="AE47" s="29">
        <f>AE16+AE23+AE28+AE33</f>
        <v>86</v>
      </c>
      <c r="AF47" s="30" t="s">
        <v>102</v>
      </c>
      <c r="AG47" s="28"/>
      <c r="AH47" s="32"/>
      <c r="AI47" s="18">
        <f>Assumptions!$G$23</f>
        <v>899</v>
      </c>
      <c r="AJ47" s="32" t="s">
        <v>6</v>
      </c>
      <c r="AK47" s="28"/>
      <c r="AL47" s="28"/>
      <c r="AM47" s="33">
        <f>(AE16*AG16*AI47)+(AE23*AG23*AI47)</f>
        <v>6201302</v>
      </c>
    </row>
    <row r="48" spans="1:39" ht="11.1" customHeight="1">
      <c r="A48" s="29">
        <f>A17+A24+A29+A34</f>
        <v>69</v>
      </c>
      <c r="B48" s="30" t="s">
        <v>103</v>
      </c>
      <c r="C48" s="28"/>
      <c r="D48" s="32"/>
      <c r="E48" s="18">
        <f>Assumptions!$G$24</f>
        <v>899</v>
      </c>
      <c r="F48" s="32" t="s">
        <v>6</v>
      </c>
      <c r="G48" s="28"/>
      <c r="H48" s="28"/>
      <c r="I48" s="33">
        <f>(A17*C17*E48)+(A24*C24*E48)</f>
        <v>5491091.9999999991</v>
      </c>
      <c r="K48" s="29">
        <f>K17+K24+K29+K34</f>
        <v>68</v>
      </c>
      <c r="L48" s="30" t="s">
        <v>103</v>
      </c>
      <c r="M48" s="28"/>
      <c r="N48" s="32"/>
      <c r="O48" s="18">
        <f>Assumptions!$G$24</f>
        <v>899</v>
      </c>
      <c r="P48" s="32" t="s">
        <v>6</v>
      </c>
      <c r="Q48" s="28"/>
      <c r="R48" s="28"/>
      <c r="S48" s="33">
        <f>(K17*M17*O48)+(K24*M24*O48)</f>
        <v>5444344</v>
      </c>
      <c r="U48" s="29">
        <f>U17+U24+U29+U34</f>
        <v>67</v>
      </c>
      <c r="V48" s="30" t="s">
        <v>103</v>
      </c>
      <c r="W48" s="28"/>
      <c r="X48" s="32"/>
      <c r="Y48" s="18">
        <f>Assumptions!$G$24</f>
        <v>899</v>
      </c>
      <c r="Z48" s="32" t="s">
        <v>6</v>
      </c>
      <c r="AA48" s="28"/>
      <c r="AB48" s="28"/>
      <c r="AC48" s="33">
        <f>(U17*W17*Y48)+(U24*W24*Y48)</f>
        <v>5397596</v>
      </c>
      <c r="AE48" s="29">
        <f>AE17+AE24+AE29+AE34</f>
        <v>66</v>
      </c>
      <c r="AF48" s="30" t="s">
        <v>103</v>
      </c>
      <c r="AG48" s="28"/>
      <c r="AH48" s="32"/>
      <c r="AI48" s="18">
        <f>Assumptions!$G$24</f>
        <v>899</v>
      </c>
      <c r="AJ48" s="32" t="s">
        <v>6</v>
      </c>
      <c r="AK48" s="28"/>
      <c r="AL48" s="28"/>
      <c r="AM48" s="33">
        <f>(AE17*AG17*AI48)+(AE24*AG24*AI48)</f>
        <v>5350848</v>
      </c>
    </row>
    <row r="49" spans="1:39" ht="11.1" customHeight="1">
      <c r="A49" s="29">
        <f>A18</f>
        <v>45</v>
      </c>
      <c r="B49" s="30" t="s">
        <v>104</v>
      </c>
      <c r="C49" s="28"/>
      <c r="D49" s="32"/>
      <c r="E49" s="18">
        <f>Assumptions!$G$25</f>
        <v>899</v>
      </c>
      <c r="F49" s="32" t="s">
        <v>6</v>
      </c>
      <c r="G49" s="28"/>
      <c r="H49" s="28"/>
      <c r="I49" s="33">
        <f>(A18*C18*E49)</f>
        <v>4854600</v>
      </c>
      <c r="K49" s="29">
        <f>K18</f>
        <v>40</v>
      </c>
      <c r="L49" s="30" t="s">
        <v>104</v>
      </c>
      <c r="M49" s="28"/>
      <c r="N49" s="32"/>
      <c r="O49" s="18">
        <f>Assumptions!$G$25</f>
        <v>899</v>
      </c>
      <c r="P49" s="32" t="s">
        <v>6</v>
      </c>
      <c r="Q49" s="28"/>
      <c r="R49" s="28"/>
      <c r="S49" s="33">
        <f>(K18*M18*O49)</f>
        <v>4315200</v>
      </c>
      <c r="U49" s="29">
        <f>U18</f>
        <v>35</v>
      </c>
      <c r="V49" s="30" t="s">
        <v>104</v>
      </c>
      <c r="W49" s="28"/>
      <c r="X49" s="32"/>
      <c r="Y49" s="18">
        <f>Assumptions!$G$25</f>
        <v>899</v>
      </c>
      <c r="Z49" s="32" t="s">
        <v>6</v>
      </c>
      <c r="AA49" s="28"/>
      <c r="AB49" s="28"/>
      <c r="AC49" s="33">
        <f>(U18*W18*Y49)</f>
        <v>3775800</v>
      </c>
      <c r="AE49" s="29">
        <f>AE18</f>
        <v>30</v>
      </c>
      <c r="AF49" s="30" t="s">
        <v>104</v>
      </c>
      <c r="AG49" s="28"/>
      <c r="AH49" s="32"/>
      <c r="AI49" s="18">
        <f>Assumptions!$G$25</f>
        <v>899</v>
      </c>
      <c r="AJ49" s="32" t="s">
        <v>6</v>
      </c>
      <c r="AK49" s="28"/>
      <c r="AL49" s="28"/>
      <c r="AM49" s="33">
        <f>(AE18*AG18*AI49)</f>
        <v>3236400</v>
      </c>
    </row>
    <row r="50" spans="1:39" ht="11.1" customHeight="1">
      <c r="A50" s="29">
        <f>A19</f>
        <v>27</v>
      </c>
      <c r="B50" s="30" t="s">
        <v>105</v>
      </c>
      <c r="C50" s="28"/>
      <c r="D50" s="32"/>
      <c r="E50" s="18">
        <f>Assumptions!$G$26</f>
        <v>899</v>
      </c>
      <c r="F50" s="32" t="s">
        <v>6</v>
      </c>
      <c r="G50" s="28"/>
      <c r="H50" s="28"/>
      <c r="I50" s="33">
        <f>(A19*C19*E50)</f>
        <v>3640950</v>
      </c>
      <c r="K50" s="29">
        <f>K19</f>
        <v>24</v>
      </c>
      <c r="L50" s="30" t="s">
        <v>105</v>
      </c>
      <c r="M50" s="28"/>
      <c r="N50" s="32"/>
      <c r="O50" s="18">
        <f>Assumptions!$G$26</f>
        <v>899</v>
      </c>
      <c r="P50" s="32" t="s">
        <v>6</v>
      </c>
      <c r="Q50" s="28"/>
      <c r="R50" s="28"/>
      <c r="S50" s="33">
        <f>(K19*M19*O50)</f>
        <v>3236400</v>
      </c>
      <c r="U50" s="29">
        <f>U19</f>
        <v>21</v>
      </c>
      <c r="V50" s="30" t="s">
        <v>105</v>
      </c>
      <c r="W50" s="28"/>
      <c r="X50" s="32"/>
      <c r="Y50" s="18">
        <f>Assumptions!$G$26</f>
        <v>899</v>
      </c>
      <c r="Z50" s="32" t="s">
        <v>6</v>
      </c>
      <c r="AA50" s="28"/>
      <c r="AB50" s="28"/>
      <c r="AC50" s="33">
        <f>(U19*W19*Y50)</f>
        <v>2831850</v>
      </c>
      <c r="AE50" s="29">
        <f>AE19</f>
        <v>18</v>
      </c>
      <c r="AF50" s="30" t="s">
        <v>105</v>
      </c>
      <c r="AG50" s="28"/>
      <c r="AH50" s="32"/>
      <c r="AI50" s="18">
        <f>Assumptions!$G$26</f>
        <v>899</v>
      </c>
      <c r="AJ50" s="32" t="s">
        <v>6</v>
      </c>
      <c r="AK50" s="28"/>
      <c r="AL50" s="28"/>
      <c r="AM50" s="33">
        <f>(AE19*AG19*AI50)</f>
        <v>2427300</v>
      </c>
    </row>
    <row r="51" spans="1:39" ht="11.1" customHeight="1">
      <c r="A51" s="38">
        <f>SUM(A46:A50)</f>
        <v>200</v>
      </c>
      <c r="B51" s="26"/>
      <c r="C51" s="47">
        <f>SUM(A46*C46*G46)+(A47*C47)+(A48*C48)+(A49*C49)+(A50*C50)</f>
        <v>0</v>
      </c>
      <c r="D51" s="34" t="s">
        <v>106</v>
      </c>
      <c r="E51" s="26"/>
      <c r="F51" s="34"/>
      <c r="G51" s="26"/>
      <c r="H51" s="26"/>
      <c r="I51" s="40"/>
      <c r="K51" s="38">
        <f>SUM(K46:K50)</f>
        <v>200</v>
      </c>
      <c r="L51" s="26"/>
      <c r="M51" s="47">
        <f>SUM(K46*M46*Q46)+(K47*M47)+(K48*M48)+(K49*M49)+(K50*M50)</f>
        <v>0</v>
      </c>
      <c r="N51" s="34" t="s">
        <v>106</v>
      </c>
      <c r="O51" s="26"/>
      <c r="P51" s="34"/>
      <c r="Q51" s="26"/>
      <c r="R51" s="26"/>
      <c r="S51" s="40"/>
      <c r="U51" s="38">
        <f>SUM(U46:U50)</f>
        <v>200</v>
      </c>
      <c r="V51" s="26"/>
      <c r="W51" s="47">
        <f>SUM(U46*W46*AA46)+(U47*W47)+(U48*W48)+(U49*W49)+(U50*W50)</f>
        <v>0</v>
      </c>
      <c r="X51" s="34" t="s">
        <v>106</v>
      </c>
      <c r="Y51" s="26"/>
      <c r="Z51" s="34"/>
      <c r="AA51" s="26"/>
      <c r="AB51" s="26"/>
      <c r="AC51" s="40"/>
      <c r="AE51" s="38">
        <f>SUM(AE46:AE50)</f>
        <v>200</v>
      </c>
      <c r="AF51" s="26"/>
      <c r="AG51" s="47">
        <f>SUM(AE46*AG46*AK46)+(AE47*AG47)+(AE48*AG48)+(AE49*AG49)+(AE50*AG50)</f>
        <v>0</v>
      </c>
      <c r="AH51" s="34" t="s">
        <v>106</v>
      </c>
      <c r="AI51" s="26"/>
      <c r="AJ51" s="34"/>
      <c r="AK51" s="26"/>
      <c r="AL51" s="26"/>
      <c r="AM51" s="40"/>
    </row>
    <row r="52" spans="1:39" ht="11.1" customHeight="1">
      <c r="A52" s="17" t="s">
        <v>137</v>
      </c>
      <c r="B52" s="4"/>
      <c r="E52" s="71">
        <f>IF(E40&lt;25000,0,IF(E40&gt;25000,(E40*Assumptions!$D$211)))</f>
        <v>0</v>
      </c>
      <c r="F52" s="48" t="s">
        <v>138</v>
      </c>
      <c r="I52" s="33">
        <f>H10*E52</f>
        <v>0</v>
      </c>
      <c r="K52" s="17" t="s">
        <v>137</v>
      </c>
      <c r="L52" s="4"/>
      <c r="O52" s="71">
        <f>IF(O40&lt;25000,0,IF(O40&gt;25000,(O40*Assumptions!$D$211)))</f>
        <v>0</v>
      </c>
      <c r="P52" s="48" t="s">
        <v>138</v>
      </c>
      <c r="S52" s="33">
        <f>R10*O52</f>
        <v>0</v>
      </c>
      <c r="U52" s="17" t="s">
        <v>137</v>
      </c>
      <c r="V52" s="4"/>
      <c r="Y52" s="71">
        <f>IF(Y40&lt;25000,0,IF(Y40&gt;25000,(Y40*Assumptions!$D$211)))</f>
        <v>0</v>
      </c>
      <c r="Z52" s="48" t="s">
        <v>138</v>
      </c>
      <c r="AC52" s="33">
        <f>AB10*Y52</f>
        <v>0</v>
      </c>
      <c r="AE52" s="17" t="s">
        <v>137</v>
      </c>
      <c r="AF52" s="4"/>
      <c r="AI52" s="71">
        <f>IF(AI40&lt;25000,0,IF(AI40&gt;25000,(AI40*Assumptions!$D$211)))</f>
        <v>0</v>
      </c>
      <c r="AJ52" s="48" t="s">
        <v>138</v>
      </c>
      <c r="AM52" s="33">
        <f>AL10*AI52</f>
        <v>0</v>
      </c>
    </row>
    <row r="53" spans="1:39" ht="11.1" customHeight="1">
      <c r="A53" s="17" t="s">
        <v>119</v>
      </c>
      <c r="B53" s="17"/>
      <c r="C53" s="49"/>
      <c r="D53" s="28"/>
      <c r="E53" s="88">
        <f>Assumptions!$E$44</f>
        <v>0.08</v>
      </c>
      <c r="F53" s="32" t="s">
        <v>14</v>
      </c>
      <c r="G53" s="28"/>
      <c r="H53" s="28"/>
      <c r="I53" s="33">
        <f>SUM(I46:I50)*E53</f>
        <v>1445232.4000000001</v>
      </c>
      <c r="K53" s="17" t="s">
        <v>119</v>
      </c>
      <c r="L53" s="17"/>
      <c r="M53" s="49"/>
      <c r="N53" s="28"/>
      <c r="O53" s="88">
        <f>Assumptions!$E$44</f>
        <v>0.08</v>
      </c>
      <c r="P53" s="32" t="s">
        <v>14</v>
      </c>
      <c r="Q53" s="28"/>
      <c r="R53" s="28"/>
      <c r="S53" s="33">
        <f>SUM(S46:S50)*O53</f>
        <v>1422577.6</v>
      </c>
      <c r="U53" s="17" t="s">
        <v>119</v>
      </c>
      <c r="V53" s="17"/>
      <c r="W53" s="49"/>
      <c r="X53" s="28"/>
      <c r="Y53" s="88">
        <f>Assumptions!$E$44</f>
        <v>0.08</v>
      </c>
      <c r="Z53" s="32" t="s">
        <v>14</v>
      </c>
      <c r="AA53" s="28"/>
      <c r="AB53" s="28"/>
      <c r="AC53" s="33">
        <f>SUM(AC46:AC50)*Y53</f>
        <v>1399922.8</v>
      </c>
      <c r="AE53" s="17" t="s">
        <v>119</v>
      </c>
      <c r="AF53" s="17"/>
      <c r="AG53" s="49"/>
      <c r="AH53" s="28"/>
      <c r="AI53" s="88">
        <f>Assumptions!$E$44</f>
        <v>0.08</v>
      </c>
      <c r="AJ53" s="32" t="s">
        <v>14</v>
      </c>
      <c r="AK53" s="28"/>
      <c r="AL53" s="28"/>
      <c r="AM53" s="33">
        <f>SUM(AM46:AM50)*AI53</f>
        <v>1377268</v>
      </c>
    </row>
    <row r="54" spans="1:39" ht="11.1" customHeight="1">
      <c r="A54" s="17" t="s">
        <v>15</v>
      </c>
      <c r="B54" s="17"/>
      <c r="C54" s="49"/>
      <c r="D54" s="28"/>
      <c r="E54" s="88">
        <f>Assumptions!$E$45</f>
        <v>0.005</v>
      </c>
      <c r="F54" s="32" t="s">
        <v>16</v>
      </c>
      <c r="G54" s="28"/>
      <c r="H54" s="28"/>
      <c r="I54" s="33">
        <f>I36*E54</f>
        <v>186665.82</v>
      </c>
      <c r="K54" s="17" t="s">
        <v>15</v>
      </c>
      <c r="L54" s="17"/>
      <c r="M54" s="49"/>
      <c r="N54" s="28"/>
      <c r="O54" s="88">
        <f>Assumptions!$E$45</f>
        <v>0.005</v>
      </c>
      <c r="P54" s="32" t="s">
        <v>16</v>
      </c>
      <c r="Q54" s="28"/>
      <c r="R54" s="28"/>
      <c r="S54" s="33">
        <f>S36*O54</f>
        <v>174454.96</v>
      </c>
      <c r="U54" s="17" t="s">
        <v>15</v>
      </c>
      <c r="V54" s="17"/>
      <c r="W54" s="49"/>
      <c r="X54" s="28"/>
      <c r="Y54" s="88">
        <f>Assumptions!$E$45</f>
        <v>0.005</v>
      </c>
      <c r="Z54" s="32" t="s">
        <v>16</v>
      </c>
      <c r="AA54" s="28"/>
      <c r="AB54" s="28"/>
      <c r="AC54" s="33">
        <f>AC36*Y54</f>
        <v>163038.57</v>
      </c>
      <c r="AE54" s="17" t="s">
        <v>15</v>
      </c>
      <c r="AF54" s="17"/>
      <c r="AG54" s="49"/>
      <c r="AH54" s="28"/>
      <c r="AI54" s="88">
        <f>Assumptions!$E$45</f>
        <v>0.005</v>
      </c>
      <c r="AJ54" s="32" t="s">
        <v>16</v>
      </c>
      <c r="AK54" s="28"/>
      <c r="AL54" s="28"/>
      <c r="AM54" s="33">
        <f>AM36*AI54</f>
        <v>161377.46</v>
      </c>
    </row>
    <row r="55" spans="1:39" ht="11.1" customHeight="1">
      <c r="A55" s="17" t="s">
        <v>17</v>
      </c>
      <c r="B55" s="17"/>
      <c r="C55" s="49"/>
      <c r="D55" s="28"/>
      <c r="E55" s="88">
        <f>Assumptions!$E$46</f>
        <v>0.011</v>
      </c>
      <c r="F55" s="32" t="s">
        <v>14</v>
      </c>
      <c r="G55" s="28"/>
      <c r="H55" s="28"/>
      <c r="I55" s="33">
        <f>SUM(I46:I50)*E55</f>
        <v>198719.455</v>
      </c>
      <c r="K55" s="17" t="s">
        <v>17</v>
      </c>
      <c r="L55" s="17"/>
      <c r="M55" s="49"/>
      <c r="N55" s="28"/>
      <c r="O55" s="88">
        <f>Assumptions!$E$46</f>
        <v>0.011</v>
      </c>
      <c r="P55" s="32" t="s">
        <v>14</v>
      </c>
      <c r="Q55" s="28"/>
      <c r="R55" s="28"/>
      <c r="S55" s="33">
        <f>SUM(S46:S50)*O55</f>
        <v>195604.41999999998</v>
      </c>
      <c r="U55" s="17" t="s">
        <v>17</v>
      </c>
      <c r="V55" s="17"/>
      <c r="W55" s="49"/>
      <c r="X55" s="28"/>
      <c r="Y55" s="88">
        <f>Assumptions!$E$46</f>
        <v>0.011</v>
      </c>
      <c r="Z55" s="32" t="s">
        <v>14</v>
      </c>
      <c r="AA55" s="28"/>
      <c r="AB55" s="28"/>
      <c r="AC55" s="33">
        <f>SUM(AC46:AC50)*Y55</f>
        <v>192489.38499999998</v>
      </c>
      <c r="AE55" s="17" t="s">
        <v>17</v>
      </c>
      <c r="AF55" s="17"/>
      <c r="AG55" s="49"/>
      <c r="AH55" s="28"/>
      <c r="AI55" s="88">
        <f>Assumptions!$E$46</f>
        <v>0.011</v>
      </c>
      <c r="AJ55" s="32" t="s">
        <v>14</v>
      </c>
      <c r="AK55" s="28"/>
      <c r="AL55" s="28"/>
      <c r="AM55" s="33">
        <f>SUM(AM46:AM50)*AI55</f>
        <v>189374.34999999998</v>
      </c>
    </row>
    <row r="56" spans="1:39" ht="11.1" customHeight="1">
      <c r="A56" s="17" t="s">
        <v>18</v>
      </c>
      <c r="B56" s="17"/>
      <c r="C56" s="49"/>
      <c r="D56" s="28"/>
      <c r="E56" s="88">
        <f>Assumptions!$E$47</f>
        <v>0.02</v>
      </c>
      <c r="F56" s="32" t="s">
        <v>50</v>
      </c>
      <c r="G56" s="28"/>
      <c r="H56" s="28"/>
      <c r="I56" s="33">
        <f>SUM(I15:I19)*E56</f>
        <v>716391</v>
      </c>
      <c r="K56" s="17" t="s">
        <v>18</v>
      </c>
      <c r="L56" s="17"/>
      <c r="M56" s="49"/>
      <c r="N56" s="28"/>
      <c r="O56" s="88">
        <f>Assumptions!$E$47</f>
        <v>0.02</v>
      </c>
      <c r="P56" s="32" t="s">
        <v>50</v>
      </c>
      <c r="Q56" s="28"/>
      <c r="R56" s="28"/>
      <c r="S56" s="33">
        <f>SUM(S15:S19)*O56</f>
        <v>636792</v>
      </c>
      <c r="U56" s="17" t="s">
        <v>18</v>
      </c>
      <c r="V56" s="17"/>
      <c r="W56" s="49"/>
      <c r="X56" s="28"/>
      <c r="Y56" s="88">
        <f>Assumptions!$E$47</f>
        <v>0.02</v>
      </c>
      <c r="Z56" s="32" t="s">
        <v>50</v>
      </c>
      <c r="AA56" s="28"/>
      <c r="AB56" s="28"/>
      <c r="AC56" s="33">
        <f>SUM(AC15:AC19)*Y56</f>
        <v>557193</v>
      </c>
      <c r="AE56" s="17" t="s">
        <v>18</v>
      </c>
      <c r="AF56" s="17"/>
      <c r="AG56" s="49"/>
      <c r="AH56" s="28"/>
      <c r="AI56" s="88">
        <f>Assumptions!$E$47</f>
        <v>0.02</v>
      </c>
      <c r="AJ56" s="32" t="s">
        <v>50</v>
      </c>
      <c r="AK56" s="28"/>
      <c r="AL56" s="28"/>
      <c r="AM56" s="33">
        <f>SUM(AM15:AM19)*AI56</f>
        <v>502086</v>
      </c>
    </row>
    <row r="57" spans="1:39" ht="11.1" customHeight="1">
      <c r="A57" s="17" t="s">
        <v>19</v>
      </c>
      <c r="B57" s="17"/>
      <c r="C57" s="50"/>
      <c r="D57" s="28"/>
      <c r="E57" s="88">
        <f>Assumptions!$E$48</f>
        <v>0.05</v>
      </c>
      <c r="F57" s="32" t="s">
        <v>14</v>
      </c>
      <c r="G57" s="28"/>
      <c r="H57" s="28"/>
      <c r="I57" s="33">
        <f>SUM(I46:I52)*E57</f>
        <v>903270.25</v>
      </c>
      <c r="K57" s="17" t="s">
        <v>19</v>
      </c>
      <c r="L57" s="17"/>
      <c r="M57" s="50"/>
      <c r="N57" s="28"/>
      <c r="O57" s="88">
        <f>Assumptions!$E$48</f>
        <v>0.05</v>
      </c>
      <c r="P57" s="32" t="s">
        <v>14</v>
      </c>
      <c r="Q57" s="28"/>
      <c r="R57" s="28"/>
      <c r="S57" s="33">
        <f>SUM(S46:S52)*O57</f>
        <v>889111</v>
      </c>
      <c r="U57" s="17" t="s">
        <v>19</v>
      </c>
      <c r="V57" s="17"/>
      <c r="W57" s="50"/>
      <c r="X57" s="28"/>
      <c r="Y57" s="88">
        <f>Assumptions!$E$48</f>
        <v>0.05</v>
      </c>
      <c r="Z57" s="32" t="s">
        <v>14</v>
      </c>
      <c r="AA57" s="28"/>
      <c r="AB57" s="28"/>
      <c r="AC57" s="33">
        <f>SUM(AC46:AC52)*Y57</f>
        <v>874951.75</v>
      </c>
      <c r="AE57" s="17" t="s">
        <v>19</v>
      </c>
      <c r="AF57" s="17"/>
      <c r="AG57" s="50"/>
      <c r="AH57" s="28"/>
      <c r="AI57" s="88">
        <f>Assumptions!$E$48</f>
        <v>0.05</v>
      </c>
      <c r="AJ57" s="32" t="s">
        <v>14</v>
      </c>
      <c r="AK57" s="28"/>
      <c r="AL57" s="28"/>
      <c r="AM57" s="33">
        <f>SUM(AM46:AM52)*AI57</f>
        <v>860792.5</v>
      </c>
    </row>
    <row r="58" spans="1:39" ht="11.1" customHeight="1">
      <c r="A58" s="17" t="s">
        <v>20</v>
      </c>
      <c r="B58" s="4"/>
      <c r="C58" s="13"/>
      <c r="E58" s="89">
        <f>Assumptions!$E$49</f>
        <v>4000</v>
      </c>
      <c r="F58" s="32" t="s">
        <v>51</v>
      </c>
      <c r="I58" s="36">
        <f>A35*E58</f>
        <v>800000</v>
      </c>
      <c r="K58" s="17" t="s">
        <v>20</v>
      </c>
      <c r="L58" s="4"/>
      <c r="M58" s="13"/>
      <c r="O58" s="89">
        <f>Assumptions!$E$49</f>
        <v>4000</v>
      </c>
      <c r="P58" s="32" t="s">
        <v>51</v>
      </c>
      <c r="S58" s="36">
        <f>K35*O58</f>
        <v>800000</v>
      </c>
      <c r="U58" s="17" t="s">
        <v>20</v>
      </c>
      <c r="V58" s="4"/>
      <c r="W58" s="13"/>
      <c r="Y58" s="89">
        <f>Assumptions!$E$49</f>
        <v>4000</v>
      </c>
      <c r="Z58" s="32" t="s">
        <v>51</v>
      </c>
      <c r="AC58" s="36">
        <f>U35*Y58</f>
        <v>800000</v>
      </c>
      <c r="AE58" s="17" t="s">
        <v>20</v>
      </c>
      <c r="AF58" s="4"/>
      <c r="AG58" s="13"/>
      <c r="AI58" s="89">
        <f>Assumptions!$E$49</f>
        <v>4000</v>
      </c>
      <c r="AJ58" s="32" t="s">
        <v>51</v>
      </c>
      <c r="AM58" s="36">
        <f>AE35*AI58</f>
        <v>800000</v>
      </c>
    </row>
    <row r="59" spans="1:39" ht="11.1" customHeight="1">
      <c r="A59" s="17" t="s">
        <v>120</v>
      </c>
      <c r="B59" s="17"/>
      <c r="C59" s="45">
        <f>Assumptions!$C$50</f>
        <v>0.05</v>
      </c>
      <c r="D59" s="71">
        <f>Assumptions!$D$50</f>
        <v>12</v>
      </c>
      <c r="E59" s="32" t="s">
        <v>22</v>
      </c>
      <c r="F59" s="28"/>
      <c r="G59" s="71">
        <f>Assumptions!$G$50</f>
        <v>6</v>
      </c>
      <c r="H59" s="32" t="s">
        <v>110</v>
      </c>
      <c r="I59" s="33">
        <f>(((SUM(I39:I44)*POWER((1+C59/12),((D59+G59)/12)*12))-SUM(I39:I44))      +           ((((SUM(I46:I58)*POWER((1+C59/12),((D59+G59)/12)*12))-SUM(I46:I58))*0.5)))</f>
        <v>1180098.5097069088</v>
      </c>
      <c r="K59" s="17" t="s">
        <v>120</v>
      </c>
      <c r="L59" s="17"/>
      <c r="M59" s="45">
        <f>Assumptions!$C$50</f>
        <v>0.05</v>
      </c>
      <c r="N59" s="71">
        <f>Assumptions!$D$50</f>
        <v>12</v>
      </c>
      <c r="O59" s="32" t="s">
        <v>22</v>
      </c>
      <c r="P59" s="28"/>
      <c r="Q59" s="71">
        <f>Assumptions!$G$50</f>
        <v>6</v>
      </c>
      <c r="R59" s="32" t="s">
        <v>110</v>
      </c>
      <c r="S59" s="33">
        <f>(((SUM(S39:S44)*POWER((1+M59/12),((N59+Q59)/12)*12))-SUM(S39:S44))      +           ((((SUM(S46:S58)*POWER((1+M59/12),((N59+Q59)/12)*12))-SUM(S46:S58))*0.5)))</f>
        <v>1126330.3701259471</v>
      </c>
      <c r="U59" s="17" t="s">
        <v>120</v>
      </c>
      <c r="V59" s="17"/>
      <c r="W59" s="45">
        <f>Assumptions!$C$50</f>
        <v>0.05</v>
      </c>
      <c r="X59" s="71">
        <f>Assumptions!$D$50</f>
        <v>12</v>
      </c>
      <c r="Y59" s="32" t="s">
        <v>22</v>
      </c>
      <c r="Z59" s="28"/>
      <c r="AA59" s="71">
        <f>Assumptions!$G$50</f>
        <v>6</v>
      </c>
      <c r="AB59" s="32" t="s">
        <v>110</v>
      </c>
      <c r="AC59" s="33">
        <f>(((SUM(AC39:AC44)*POWER((1+W59/12),((X59+AA59)/12)*12))-SUM(AC39:AC44))      +           ((((SUM(AC46:AC58)*POWER((1+W59/12),((X59+AA59)/12)*12))-SUM(AC46:AC58))*0.5)))</f>
        <v>1075824.5421951292</v>
      </c>
      <c r="AE59" s="17" t="s">
        <v>120</v>
      </c>
      <c r="AF59" s="17"/>
      <c r="AG59" s="45">
        <f>Assumptions!$C$50</f>
        <v>0.05</v>
      </c>
      <c r="AH59" s="71">
        <f>Assumptions!$D$50</f>
        <v>12</v>
      </c>
      <c r="AI59" s="32" t="s">
        <v>22</v>
      </c>
      <c r="AJ59" s="28"/>
      <c r="AK59" s="71">
        <f>Assumptions!$G$50</f>
        <v>6</v>
      </c>
      <c r="AL59" s="32" t="s">
        <v>110</v>
      </c>
      <c r="AM59" s="33">
        <f>(((SUM(AM39:AM44)*POWER((1+AG59/12),((AH59+AK59)/12)*12))-SUM(AM39:AM44))      +           ((((SUM(AM46:AM58)*POWER((1+AG59/12),((AH59+AK59)/12)*12))-SUM(AM46:AM58))*0.5)))</f>
        <v>1065276.4622520325</v>
      </c>
    </row>
    <row r="60" spans="1:39" ht="11.1" customHeight="1">
      <c r="A60" s="17" t="s">
        <v>23</v>
      </c>
      <c r="B60" s="17"/>
      <c r="C60" s="45">
        <f>Assumptions!$C$51</f>
        <v>0</v>
      </c>
      <c r="D60" s="32" t="s">
        <v>24</v>
      </c>
      <c r="E60" s="28"/>
      <c r="F60" s="28"/>
      <c r="G60" s="28"/>
      <c r="H60" s="28"/>
      <c r="I60" s="33">
        <f>SUM(I39:I57)*C60</f>
        <v>0</v>
      </c>
      <c r="K60" s="17" t="s">
        <v>23</v>
      </c>
      <c r="L60" s="17"/>
      <c r="M60" s="45">
        <f>Assumptions!$C$51</f>
        <v>0</v>
      </c>
      <c r="N60" s="32" t="s">
        <v>24</v>
      </c>
      <c r="O60" s="28"/>
      <c r="P60" s="28"/>
      <c r="Q60" s="28"/>
      <c r="R60" s="28"/>
      <c r="S60" s="33">
        <f>SUM(S39:S57)*M60</f>
        <v>0</v>
      </c>
      <c r="U60" s="17" t="s">
        <v>23</v>
      </c>
      <c r="V60" s="17"/>
      <c r="W60" s="45">
        <f>Assumptions!$C$51</f>
        <v>0</v>
      </c>
      <c r="X60" s="32" t="s">
        <v>24</v>
      </c>
      <c r="Y60" s="28"/>
      <c r="Z60" s="28"/>
      <c r="AA60" s="28"/>
      <c r="AB60" s="28"/>
      <c r="AC60" s="33">
        <f>SUM(AC39:AC57)*W60</f>
        <v>0</v>
      </c>
      <c r="AE60" s="17" t="s">
        <v>23</v>
      </c>
      <c r="AF60" s="17"/>
      <c r="AG60" s="45">
        <f>Assumptions!$C$51</f>
        <v>0</v>
      </c>
      <c r="AH60" s="32" t="s">
        <v>24</v>
      </c>
      <c r="AI60" s="28"/>
      <c r="AJ60" s="28"/>
      <c r="AK60" s="28"/>
      <c r="AL60" s="28"/>
      <c r="AM60" s="33">
        <f>SUM(AM39:AM57)*AG60</f>
        <v>0</v>
      </c>
    </row>
    <row r="61" spans="1:39" ht="11.1" customHeight="1">
      <c r="A61" s="17" t="s">
        <v>25</v>
      </c>
      <c r="B61" s="17"/>
      <c r="C61" s="155" t="s">
        <v>155</v>
      </c>
      <c r="D61" s="45">
        <f>Assumptions!$D$52</f>
        <v>0.2</v>
      </c>
      <c r="E61" s="32" t="s">
        <v>26</v>
      </c>
      <c r="F61" s="155" t="s">
        <v>156</v>
      </c>
      <c r="G61" s="45">
        <f>Assumptions!$G$52</f>
        <v>0.06</v>
      </c>
      <c r="H61" s="32" t="s">
        <v>26</v>
      </c>
      <c r="I61" s="33">
        <f>SUM(I15:I19)*D61+SUM(I22:I34)*G61</f>
        <v>7254726.84</v>
      </c>
      <c r="K61" s="17" t="s">
        <v>25</v>
      </c>
      <c r="L61" s="17"/>
      <c r="M61" s="155" t="s">
        <v>155</v>
      </c>
      <c r="N61" s="45">
        <f>Assumptions!$D$52</f>
        <v>0.2</v>
      </c>
      <c r="O61" s="32" t="s">
        <v>26</v>
      </c>
      <c r="P61" s="155" t="s">
        <v>156</v>
      </c>
      <c r="Q61" s="45">
        <f>Assumptions!$G$52</f>
        <v>0.06</v>
      </c>
      <c r="R61" s="32" t="s">
        <v>26</v>
      </c>
      <c r="S61" s="33">
        <f>SUM(S15:S19)*N61+SUM(S22:S34)*Q61</f>
        <v>6551003.52</v>
      </c>
      <c r="U61" s="17" t="s">
        <v>25</v>
      </c>
      <c r="V61" s="17"/>
      <c r="W61" s="155" t="s">
        <v>155</v>
      </c>
      <c r="X61" s="45">
        <f>Assumptions!$D$52</f>
        <v>0.2</v>
      </c>
      <c r="Y61" s="32" t="s">
        <v>26</v>
      </c>
      <c r="Z61" s="155" t="s">
        <v>156</v>
      </c>
      <c r="AA61" s="45">
        <f>Assumptions!$G$52</f>
        <v>0.06</v>
      </c>
      <c r="AB61" s="32" t="s">
        <v>26</v>
      </c>
      <c r="AC61" s="33">
        <f>SUM(AC15:AC19)*X61+SUM(AC22:AC34)*AA61</f>
        <v>5856813.84</v>
      </c>
      <c r="AE61" s="17" t="s">
        <v>25</v>
      </c>
      <c r="AF61" s="17"/>
      <c r="AG61" s="155" t="s">
        <v>155</v>
      </c>
      <c r="AH61" s="45">
        <f>Assumptions!$D$52</f>
        <v>0.2</v>
      </c>
      <c r="AI61" s="32" t="s">
        <v>26</v>
      </c>
      <c r="AJ61" s="155" t="s">
        <v>156</v>
      </c>
      <c r="AK61" s="45">
        <f>Assumptions!$G$52</f>
        <v>0.06</v>
      </c>
      <c r="AL61" s="32" t="s">
        <v>26</v>
      </c>
      <c r="AM61" s="33">
        <f>SUM(AM15:AM19)*AH61+SUM(AM22:AM34)*AK61</f>
        <v>5451131.52</v>
      </c>
    </row>
    <row r="62" spans="1:39" ht="11.1" customHeight="1">
      <c r="A62" s="26"/>
      <c r="B62" s="26"/>
      <c r="C62" s="26"/>
      <c r="D62" s="26"/>
      <c r="E62" s="26"/>
      <c r="F62" s="26"/>
      <c r="G62" s="26"/>
      <c r="H62" s="26"/>
      <c r="I62" s="40"/>
      <c r="K62" s="26"/>
      <c r="L62" s="26"/>
      <c r="M62" s="26"/>
      <c r="N62" s="26"/>
      <c r="O62" s="26"/>
      <c r="P62" s="26"/>
      <c r="Q62" s="26"/>
      <c r="R62" s="26"/>
      <c r="S62" s="40"/>
      <c r="U62" s="26"/>
      <c r="V62" s="26"/>
      <c r="W62" s="26"/>
      <c r="X62" s="26"/>
      <c r="Y62" s="26"/>
      <c r="Z62" s="26"/>
      <c r="AA62" s="26"/>
      <c r="AB62" s="26"/>
      <c r="AC62" s="40"/>
      <c r="AE62" s="26"/>
      <c r="AF62" s="26"/>
      <c r="AG62" s="26"/>
      <c r="AH62" s="26"/>
      <c r="AI62" s="26"/>
      <c r="AJ62" s="26"/>
      <c r="AK62" s="26"/>
      <c r="AL62" s="26"/>
      <c r="AM62" s="40"/>
    </row>
    <row r="63" spans="1:39" ht="11.1" customHeight="1">
      <c r="A63" s="25" t="s">
        <v>27</v>
      </c>
      <c r="B63" s="26"/>
      <c r="C63" s="26"/>
      <c r="D63" s="26"/>
      <c r="E63" s="26"/>
      <c r="F63" s="26"/>
      <c r="G63" s="26"/>
      <c r="H63" s="26"/>
      <c r="I63" s="42">
        <f>SUM(I39:I62)</f>
        <v>34777382.2559569</v>
      </c>
      <c r="K63" s="25" t="s">
        <v>27</v>
      </c>
      <c r="L63" s="26"/>
      <c r="M63" s="26"/>
      <c r="N63" s="26"/>
      <c r="O63" s="26"/>
      <c r="P63" s="26"/>
      <c r="Q63" s="26"/>
      <c r="R63" s="26"/>
      <c r="S63" s="42">
        <f>SUM(S39:S62)</f>
        <v>33120576.520125948</v>
      </c>
      <c r="U63" s="25" t="s">
        <v>27</v>
      </c>
      <c r="V63" s="26"/>
      <c r="W63" s="26"/>
      <c r="X63" s="26"/>
      <c r="Y63" s="26"/>
      <c r="Z63" s="26"/>
      <c r="AA63" s="26"/>
      <c r="AB63" s="26"/>
      <c r="AC63" s="42">
        <f>SUM(AC39:AC62)</f>
        <v>31518941.205945134</v>
      </c>
      <c r="AE63" s="25" t="s">
        <v>27</v>
      </c>
      <c r="AF63" s="26"/>
      <c r="AG63" s="26"/>
      <c r="AH63" s="26"/>
      <c r="AI63" s="26"/>
      <c r="AJ63" s="26"/>
      <c r="AK63" s="26"/>
      <c r="AL63" s="26"/>
      <c r="AM63" s="42">
        <f>SUM(AM39:AM62)</f>
        <v>30777044.101002034</v>
      </c>
    </row>
    <row r="64" spans="1:39" ht="11.1" customHeight="1">
      <c r="A64" s="28"/>
      <c r="B64" s="28"/>
      <c r="C64" s="28"/>
      <c r="D64" s="28"/>
      <c r="E64" s="28"/>
      <c r="F64" s="28"/>
      <c r="G64" s="28"/>
      <c r="H64" s="28"/>
      <c r="I64" s="51"/>
      <c r="K64" s="28"/>
      <c r="L64" s="28"/>
      <c r="M64" s="28"/>
      <c r="N64" s="28"/>
      <c r="O64" s="28"/>
      <c r="P64" s="28"/>
      <c r="Q64" s="28"/>
      <c r="R64" s="28"/>
      <c r="S64" s="51"/>
      <c r="U64" s="28"/>
      <c r="V64" s="28"/>
      <c r="W64" s="28"/>
      <c r="X64" s="28"/>
      <c r="Y64" s="28"/>
      <c r="Z64" s="28"/>
      <c r="AA64" s="28"/>
      <c r="AB64" s="28"/>
      <c r="AC64" s="51"/>
      <c r="AE64" s="28"/>
      <c r="AF64" s="28"/>
      <c r="AG64" s="28"/>
      <c r="AH64" s="28"/>
      <c r="AI64" s="28"/>
      <c r="AJ64" s="28"/>
      <c r="AK64" s="28"/>
      <c r="AL64" s="28"/>
      <c r="AM64" s="51"/>
    </row>
    <row r="65" spans="1:39" ht="11.1" customHeight="1">
      <c r="A65" s="52" t="s">
        <v>28</v>
      </c>
      <c r="B65" s="53"/>
      <c r="C65" s="53"/>
      <c r="D65" s="53"/>
      <c r="E65" s="53"/>
      <c r="F65" s="53"/>
      <c r="G65" s="53"/>
      <c r="H65" s="53"/>
      <c r="I65" s="54">
        <f>I36-I63</f>
        <v>2555781.7440430969</v>
      </c>
      <c r="K65" s="52" t="s">
        <v>28</v>
      </c>
      <c r="L65" s="53"/>
      <c r="M65" s="53"/>
      <c r="N65" s="53"/>
      <c r="O65" s="53"/>
      <c r="P65" s="53"/>
      <c r="Q65" s="53"/>
      <c r="R65" s="53"/>
      <c r="S65" s="54">
        <f>S36-S63</f>
        <v>1770415.4798740521</v>
      </c>
      <c r="U65" s="52" t="s">
        <v>28</v>
      </c>
      <c r="V65" s="53"/>
      <c r="W65" s="53"/>
      <c r="X65" s="53"/>
      <c r="Y65" s="53"/>
      <c r="Z65" s="53"/>
      <c r="AA65" s="53"/>
      <c r="AB65" s="53"/>
      <c r="AC65" s="54">
        <f>AC36-AC63</f>
        <v>1088772.7940548658</v>
      </c>
      <c r="AE65" s="52" t="s">
        <v>28</v>
      </c>
      <c r="AF65" s="53"/>
      <c r="AG65" s="53"/>
      <c r="AH65" s="53"/>
      <c r="AI65" s="53"/>
      <c r="AJ65" s="53"/>
      <c r="AK65" s="53"/>
      <c r="AL65" s="53"/>
      <c r="AM65" s="54">
        <f>AM36-AM63</f>
        <v>1498447.8989979662</v>
      </c>
    </row>
    <row r="66" spans="1:39" ht="11.1" customHeight="1">
      <c r="A66" s="52" t="s">
        <v>107</v>
      </c>
      <c r="B66" s="53"/>
      <c r="C66" s="53"/>
      <c r="D66" s="53"/>
      <c r="E66" s="53"/>
      <c r="F66" s="53"/>
      <c r="G66" s="53"/>
      <c r="H66" s="53"/>
      <c r="I66" s="54">
        <f>I65/D12</f>
        <v>139.13559497213222</v>
      </c>
      <c r="K66" s="52" t="s">
        <v>107</v>
      </c>
      <c r="L66" s="53"/>
      <c r="M66" s="53"/>
      <c r="N66" s="53"/>
      <c r="O66" s="53"/>
      <c r="P66" s="53"/>
      <c r="Q66" s="53"/>
      <c r="R66" s="53"/>
      <c r="S66" s="54">
        <f>S65/N12</f>
        <v>108.42818960522122</v>
      </c>
      <c r="U66" s="52" t="s">
        <v>107</v>
      </c>
      <c r="V66" s="53"/>
      <c r="W66" s="53"/>
      <c r="X66" s="53"/>
      <c r="Y66" s="53"/>
      <c r="Z66" s="53"/>
      <c r="AA66" s="53"/>
      <c r="AB66" s="53"/>
      <c r="AC66" s="54">
        <f>AC65/X12</f>
        <v>76.207236932516679</v>
      </c>
      <c r="AE66" s="52" t="s">
        <v>107</v>
      </c>
      <c r="AF66" s="53"/>
      <c r="AG66" s="53"/>
      <c r="AH66" s="53"/>
      <c r="AI66" s="53"/>
      <c r="AJ66" s="53"/>
      <c r="AK66" s="53"/>
      <c r="AL66" s="53"/>
      <c r="AM66" s="54">
        <f>AM65/AH12</f>
        <v>122.36223248391036</v>
      </c>
    </row>
    <row r="67" ht="11.1" customHeight="1"/>
    <row r="68" ht="11.1" customHeight="1"/>
    <row r="69" spans="1:39" ht="11.1" customHeight="1">
      <c r="A69" s="5"/>
      <c r="B69" s="14"/>
      <c r="C69" s="14"/>
      <c r="D69" s="56"/>
      <c r="E69" s="57"/>
      <c r="F69" s="57"/>
      <c r="G69" s="57"/>
      <c r="H69" s="57"/>
      <c r="I69" s="57"/>
      <c r="K69" s="5"/>
      <c r="L69" s="14"/>
      <c r="M69" s="14"/>
      <c r="N69" s="56"/>
      <c r="O69" s="57"/>
      <c r="P69" s="57"/>
      <c r="Q69" s="57"/>
      <c r="R69" s="57"/>
      <c r="S69" s="57"/>
      <c r="U69" s="5"/>
      <c r="V69" s="14"/>
      <c r="W69" s="14"/>
      <c r="X69" s="56"/>
      <c r="Y69" s="57"/>
      <c r="Z69" s="57"/>
      <c r="AA69" s="57"/>
      <c r="AB69" s="57"/>
      <c r="AC69" s="57"/>
      <c r="AE69" s="5"/>
      <c r="AF69" s="14"/>
      <c r="AG69" s="14"/>
      <c r="AH69" s="56"/>
      <c r="AI69" s="57"/>
      <c r="AJ69" s="57"/>
      <c r="AK69" s="57"/>
      <c r="AL69" s="57"/>
      <c r="AM69" s="57"/>
    </row>
    <row r="70" spans="1:39" ht="11.1" customHeight="1">
      <c r="A70" s="5"/>
      <c r="B70" s="5"/>
      <c r="C70" s="5"/>
      <c r="D70" s="310" t="s">
        <v>79</v>
      </c>
      <c r="E70" s="310"/>
      <c r="F70" s="310"/>
      <c r="G70" s="310"/>
      <c r="H70" s="310"/>
      <c r="I70" s="310"/>
      <c r="K70" s="5"/>
      <c r="L70" s="5"/>
      <c r="M70" s="5"/>
      <c r="N70" s="310" t="s">
        <v>79</v>
      </c>
      <c r="O70" s="310"/>
      <c r="P70" s="310"/>
      <c r="Q70" s="310"/>
      <c r="R70" s="310"/>
      <c r="S70" s="310"/>
      <c r="U70" s="5"/>
      <c r="V70" s="5"/>
      <c r="W70" s="5"/>
      <c r="X70" s="310" t="s">
        <v>79</v>
      </c>
      <c r="Y70" s="310"/>
      <c r="Z70" s="310"/>
      <c r="AA70" s="310"/>
      <c r="AB70" s="310"/>
      <c r="AC70" s="310"/>
      <c r="AE70" s="5"/>
      <c r="AF70" s="5"/>
      <c r="AG70" s="5"/>
      <c r="AH70" s="310" t="s">
        <v>79</v>
      </c>
      <c r="AI70" s="310"/>
      <c r="AJ70" s="310"/>
      <c r="AK70" s="310"/>
      <c r="AL70" s="310"/>
      <c r="AM70" s="310"/>
    </row>
    <row r="71" spans="1:39" ht="11.1" customHeight="1">
      <c r="A71" s="5"/>
      <c r="B71" s="5"/>
      <c r="C71" s="5"/>
      <c r="D71" s="310"/>
      <c r="E71" s="310"/>
      <c r="F71" s="310"/>
      <c r="G71" s="310"/>
      <c r="H71" s="310"/>
      <c r="I71" s="310"/>
      <c r="K71" s="5"/>
      <c r="L71" s="5"/>
      <c r="M71" s="5"/>
      <c r="N71" s="310"/>
      <c r="O71" s="310"/>
      <c r="P71" s="310"/>
      <c r="Q71" s="310"/>
      <c r="R71" s="310"/>
      <c r="S71" s="310"/>
      <c r="U71" s="5"/>
      <c r="V71" s="5"/>
      <c r="W71" s="5"/>
      <c r="X71" s="310"/>
      <c r="Y71" s="310"/>
      <c r="Z71" s="310"/>
      <c r="AA71" s="310"/>
      <c r="AB71" s="310"/>
      <c r="AC71" s="310"/>
      <c r="AE71" s="5"/>
      <c r="AF71" s="5"/>
      <c r="AG71" s="5"/>
      <c r="AH71" s="310"/>
      <c r="AI71" s="310"/>
      <c r="AJ71" s="310"/>
      <c r="AK71" s="310"/>
      <c r="AL71" s="310"/>
      <c r="AM71" s="310"/>
    </row>
    <row r="72" spans="1:39" ht="11.1" customHeight="1">
      <c r="A72" s="5"/>
      <c r="B72" s="5"/>
      <c r="C72" s="5"/>
      <c r="D72" s="310"/>
      <c r="E72" s="310"/>
      <c r="F72" s="310"/>
      <c r="G72" s="310"/>
      <c r="H72" s="310"/>
      <c r="I72" s="310"/>
      <c r="K72" s="5"/>
      <c r="L72" s="5"/>
      <c r="M72" s="5"/>
      <c r="N72" s="310"/>
      <c r="O72" s="310"/>
      <c r="P72" s="310"/>
      <c r="Q72" s="310"/>
      <c r="R72" s="310"/>
      <c r="S72" s="310"/>
      <c r="U72" s="5"/>
      <c r="V72" s="5"/>
      <c r="W72" s="5"/>
      <c r="X72" s="310"/>
      <c r="Y72" s="310"/>
      <c r="Z72" s="310"/>
      <c r="AA72" s="310"/>
      <c r="AB72" s="310"/>
      <c r="AC72" s="310"/>
      <c r="AE72" s="5"/>
      <c r="AF72" s="5"/>
      <c r="AG72" s="5"/>
      <c r="AH72" s="310"/>
      <c r="AI72" s="310"/>
      <c r="AJ72" s="310"/>
      <c r="AK72" s="310"/>
      <c r="AL72" s="310"/>
      <c r="AM72" s="310"/>
    </row>
    <row r="73" spans="1:39" ht="11.1" customHeight="1">
      <c r="A73" s="5"/>
      <c r="B73" s="5"/>
      <c r="C73" s="5"/>
      <c r="D73" s="58"/>
      <c r="E73" s="58"/>
      <c r="F73" s="58"/>
      <c r="G73" s="58"/>
      <c r="H73" s="58"/>
      <c r="I73" s="58"/>
      <c r="K73" s="5"/>
      <c r="L73" s="5"/>
      <c r="M73" s="5"/>
      <c r="N73" s="58"/>
      <c r="O73" s="58"/>
      <c r="P73" s="58"/>
      <c r="Q73" s="58"/>
      <c r="R73" s="58"/>
      <c r="S73" s="58"/>
      <c r="U73" s="5"/>
      <c r="V73" s="5"/>
      <c r="W73" s="5"/>
      <c r="X73" s="58"/>
      <c r="Y73" s="58"/>
      <c r="Z73" s="58"/>
      <c r="AA73" s="58"/>
      <c r="AB73" s="58"/>
      <c r="AC73" s="58"/>
      <c r="AE73" s="5"/>
      <c r="AF73" s="5"/>
      <c r="AG73" s="5"/>
      <c r="AH73" s="58"/>
      <c r="AI73" s="58"/>
      <c r="AJ73" s="58"/>
      <c r="AK73" s="58"/>
      <c r="AL73" s="58"/>
      <c r="AM73" s="58"/>
    </row>
    <row r="74" spans="1:39" ht="11.1" customHeight="1">
      <c r="A74" s="16" t="s">
        <v>0</v>
      </c>
      <c r="B74" s="16"/>
      <c r="C74" s="17"/>
      <c r="D74" s="30"/>
      <c r="E74" s="87" t="str">
        <f>Assumptions!$B$60</f>
        <v>Mixed Residential Development</v>
      </c>
      <c r="F74" s="66"/>
      <c r="G74" s="67"/>
      <c r="H74" s="66"/>
      <c r="I74" s="68"/>
      <c r="K74" s="16" t="s">
        <v>0</v>
      </c>
      <c r="L74" s="16"/>
      <c r="M74" s="17"/>
      <c r="N74" s="30"/>
      <c r="O74" s="87" t="str">
        <f>Assumptions!$B$60</f>
        <v>Mixed Residential Development</v>
      </c>
      <c r="P74" s="66"/>
      <c r="Q74" s="67"/>
      <c r="R74" s="66"/>
      <c r="S74" s="68"/>
      <c r="U74" s="16" t="s">
        <v>0</v>
      </c>
      <c r="V74" s="16"/>
      <c r="W74" s="17"/>
      <c r="X74" s="30"/>
      <c r="Y74" s="87" t="str">
        <f>Assumptions!$B$60</f>
        <v>Mixed Residential Development</v>
      </c>
      <c r="Z74" s="66"/>
      <c r="AA74" s="67"/>
      <c r="AB74" s="66"/>
      <c r="AC74" s="68"/>
      <c r="AE74" s="16" t="s">
        <v>0</v>
      </c>
      <c r="AF74" s="16"/>
      <c r="AG74" s="17"/>
      <c r="AH74" s="30"/>
      <c r="AI74" s="87" t="str">
        <f>Assumptions!$B$60</f>
        <v>Mixed Residential Development</v>
      </c>
      <c r="AJ74" s="66"/>
      <c r="AK74" s="67"/>
      <c r="AL74" s="66"/>
      <c r="AM74" s="68"/>
    </row>
    <row r="75" spans="1:39" ht="11.1" customHeight="1">
      <c r="A75" s="16" t="s">
        <v>1</v>
      </c>
      <c r="B75" s="17"/>
      <c r="C75" s="17"/>
      <c r="D75" s="30"/>
      <c r="E75" s="87" t="str">
        <f>'Land Values'!$A$12</f>
        <v>Brownfield</v>
      </c>
      <c r="F75" s="66"/>
      <c r="G75" s="66"/>
      <c r="H75" s="66"/>
      <c r="I75" s="69"/>
      <c r="K75" s="16" t="s">
        <v>1</v>
      </c>
      <c r="L75" s="17"/>
      <c r="M75" s="17"/>
      <c r="N75" s="30"/>
      <c r="O75" s="87" t="str">
        <f>'Land Values'!$A$12</f>
        <v>Brownfield</v>
      </c>
      <c r="P75" s="66"/>
      <c r="Q75" s="66"/>
      <c r="R75" s="66"/>
      <c r="S75" s="69"/>
      <c r="U75" s="16" t="s">
        <v>1</v>
      </c>
      <c r="V75" s="17"/>
      <c r="W75" s="17"/>
      <c r="X75" s="30"/>
      <c r="Y75" s="87" t="str">
        <f>'Land Values'!$A$12</f>
        <v>Brownfield</v>
      </c>
      <c r="Z75" s="66"/>
      <c r="AA75" s="66"/>
      <c r="AB75" s="66"/>
      <c r="AC75" s="69"/>
      <c r="AE75" s="16" t="s">
        <v>1</v>
      </c>
      <c r="AF75" s="17"/>
      <c r="AG75" s="17"/>
      <c r="AH75" s="30"/>
      <c r="AI75" s="87" t="str">
        <f>'Land Values'!$A$12</f>
        <v>Brownfield</v>
      </c>
      <c r="AJ75" s="66"/>
      <c r="AK75" s="66"/>
      <c r="AL75" s="66"/>
      <c r="AM75" s="69"/>
    </row>
    <row r="76" spans="1:39" ht="11.1" customHeight="1">
      <c r="A76" s="16" t="s">
        <v>2</v>
      </c>
      <c r="B76" s="16"/>
      <c r="C76" s="17"/>
      <c r="D76" s="30"/>
      <c r="E76" s="90" t="str">
        <f>Assumptions!$A$13</f>
        <v>Malpas &amp; Bettws</v>
      </c>
      <c r="F76" s="91"/>
      <c r="G76" s="92"/>
      <c r="H76" s="91"/>
      <c r="I76" s="93"/>
      <c r="K76" s="16" t="s">
        <v>2</v>
      </c>
      <c r="L76" s="16"/>
      <c r="M76" s="17"/>
      <c r="N76" s="30"/>
      <c r="O76" s="257" t="str">
        <f>Assumptions!$A$14</f>
        <v>Newport East </v>
      </c>
      <c r="P76" s="258"/>
      <c r="Q76" s="259"/>
      <c r="R76" s="258"/>
      <c r="S76" s="260"/>
      <c r="U76" s="16" t="s">
        <v>2</v>
      </c>
      <c r="V76" s="16"/>
      <c r="W76" s="17"/>
      <c r="X76" s="30"/>
      <c r="Y76" s="261" t="str">
        <f>Assumptions!$A$15</f>
        <v>Rog/Newport West </v>
      </c>
      <c r="Z76" s="262"/>
      <c r="AA76" s="263"/>
      <c r="AB76" s="262"/>
      <c r="AC76" s="264"/>
      <c r="AE76" s="16" t="s">
        <v>2</v>
      </c>
      <c r="AF76" s="16"/>
      <c r="AG76" s="17"/>
      <c r="AH76" s="30"/>
      <c r="AI76" s="265" t="str">
        <f>Assumptions!$A$16</f>
        <v>Caerleon/Rural</v>
      </c>
      <c r="AJ76" s="266"/>
      <c r="AK76" s="267"/>
      <c r="AL76" s="266"/>
      <c r="AM76" s="268"/>
    </row>
    <row r="77" spans="1:39" ht="11.1" customHeight="1">
      <c r="A77" s="16" t="s">
        <v>3</v>
      </c>
      <c r="B77" s="16"/>
      <c r="C77" s="17"/>
      <c r="D77" s="70">
        <f>Assumptions!$C$61</f>
        <v>200</v>
      </c>
      <c r="E77" s="55" t="s">
        <v>80</v>
      </c>
      <c r="F77" s="30"/>
      <c r="G77" s="55"/>
      <c r="H77" s="30"/>
      <c r="I77" s="55"/>
      <c r="K77" s="16" t="s">
        <v>3</v>
      </c>
      <c r="L77" s="16"/>
      <c r="M77" s="17"/>
      <c r="N77" s="70">
        <f>Assumptions!$C$61</f>
        <v>200</v>
      </c>
      <c r="O77" s="55" t="s">
        <v>80</v>
      </c>
      <c r="P77" s="30"/>
      <c r="Q77" s="55"/>
      <c r="R77" s="30"/>
      <c r="S77" s="55"/>
      <c r="U77" s="16" t="s">
        <v>3</v>
      </c>
      <c r="V77" s="16"/>
      <c r="W77" s="17"/>
      <c r="X77" s="70">
        <f>Assumptions!$C$61</f>
        <v>200</v>
      </c>
      <c r="Y77" s="55" t="s">
        <v>80</v>
      </c>
      <c r="Z77" s="30"/>
      <c r="AA77" s="55"/>
      <c r="AB77" s="30"/>
      <c r="AC77" s="55"/>
      <c r="AE77" s="16" t="s">
        <v>3</v>
      </c>
      <c r="AF77" s="16"/>
      <c r="AG77" s="17"/>
      <c r="AH77" s="70">
        <f>Assumptions!$C$61</f>
        <v>200</v>
      </c>
      <c r="AI77" s="55" t="s">
        <v>80</v>
      </c>
      <c r="AJ77" s="30"/>
      <c r="AK77" s="55"/>
      <c r="AL77" s="30"/>
      <c r="AM77" s="55"/>
    </row>
    <row r="78" spans="1:39" ht="11.1" customHeight="1">
      <c r="A78" s="16" t="s">
        <v>81</v>
      </c>
      <c r="B78" s="17"/>
      <c r="C78" s="17"/>
      <c r="D78" s="59">
        <f>Assumptions!$C$13</f>
        <v>0.1</v>
      </c>
      <c r="E78" s="60">
        <f>D77-H78</f>
        <v>180</v>
      </c>
      <c r="F78" s="55" t="s">
        <v>82</v>
      </c>
      <c r="G78" s="61"/>
      <c r="H78" s="30">
        <f>D77*D78</f>
        <v>20</v>
      </c>
      <c r="I78" s="55" t="s">
        <v>109</v>
      </c>
      <c r="K78" s="16" t="s">
        <v>81</v>
      </c>
      <c r="L78" s="17"/>
      <c r="M78" s="17"/>
      <c r="N78" s="59">
        <f>Assumptions!$C$14</f>
        <v>0.2</v>
      </c>
      <c r="O78" s="60">
        <f>N77-R78</f>
        <v>160</v>
      </c>
      <c r="P78" s="55" t="s">
        <v>82</v>
      </c>
      <c r="Q78" s="61"/>
      <c r="R78" s="30">
        <f>N77*N78</f>
        <v>40</v>
      </c>
      <c r="S78" s="55" t="s">
        <v>109</v>
      </c>
      <c r="U78" s="16" t="s">
        <v>81</v>
      </c>
      <c r="V78" s="17"/>
      <c r="W78" s="17"/>
      <c r="X78" s="59">
        <f>Assumptions!$C$15</f>
        <v>0.3</v>
      </c>
      <c r="Y78" s="60">
        <f>X77-AB78</f>
        <v>140</v>
      </c>
      <c r="Z78" s="55" t="s">
        <v>82</v>
      </c>
      <c r="AA78" s="61"/>
      <c r="AB78" s="30">
        <f>X77*X78</f>
        <v>60</v>
      </c>
      <c r="AC78" s="55" t="s">
        <v>109</v>
      </c>
      <c r="AE78" s="16" t="s">
        <v>81</v>
      </c>
      <c r="AF78" s="17"/>
      <c r="AG78" s="17"/>
      <c r="AH78" s="59">
        <f>Assumptions!$C$16</f>
        <v>0.4</v>
      </c>
      <c r="AI78" s="60">
        <f>AH77-AL78</f>
        <v>120</v>
      </c>
      <c r="AJ78" s="55" t="s">
        <v>82</v>
      </c>
      <c r="AK78" s="61"/>
      <c r="AL78" s="30">
        <f>AH77*AH78</f>
        <v>80</v>
      </c>
      <c r="AM78" s="55" t="s">
        <v>109</v>
      </c>
    </row>
    <row r="79" spans="1:39" ht="11.1" customHeight="1">
      <c r="A79" s="16" t="s">
        <v>84</v>
      </c>
      <c r="B79" s="17"/>
      <c r="C79" s="20">
        <f>Assumptions!$D$13</f>
        <v>1</v>
      </c>
      <c r="D79" s="30" t="s">
        <v>33</v>
      </c>
      <c r="E79" s="22">
        <f>Assumptions!$E$13</f>
        <v>0</v>
      </c>
      <c r="F79" s="30" t="s">
        <v>34</v>
      </c>
      <c r="G79" s="19"/>
      <c r="H79" s="20">
        <f>Assumptions!$F$13</f>
        <v>0</v>
      </c>
      <c r="I79" s="55" t="s">
        <v>108</v>
      </c>
      <c r="K79" s="16" t="s">
        <v>84</v>
      </c>
      <c r="L79" s="17"/>
      <c r="M79" s="20">
        <f>Assumptions!$D$14</f>
        <v>1</v>
      </c>
      <c r="N79" s="30" t="s">
        <v>33</v>
      </c>
      <c r="O79" s="22">
        <f>Assumptions!$E$14</f>
        <v>0</v>
      </c>
      <c r="P79" s="30" t="s">
        <v>34</v>
      </c>
      <c r="Q79" s="19"/>
      <c r="R79" s="20">
        <f>Assumptions!$F$14</f>
        <v>0</v>
      </c>
      <c r="S79" s="55" t="s">
        <v>108</v>
      </c>
      <c r="U79" s="16" t="s">
        <v>84</v>
      </c>
      <c r="V79" s="17"/>
      <c r="W79" s="20">
        <f>Assumptions!$D$15</f>
        <v>1</v>
      </c>
      <c r="X79" s="30" t="s">
        <v>33</v>
      </c>
      <c r="Y79" s="22">
        <f>Assumptions!$E$15</f>
        <v>0</v>
      </c>
      <c r="Z79" s="30" t="s">
        <v>34</v>
      </c>
      <c r="AA79" s="19"/>
      <c r="AB79" s="20">
        <f>Assumptions!$F$15</f>
        <v>0</v>
      </c>
      <c r="AC79" s="55" t="s">
        <v>108</v>
      </c>
      <c r="AE79" s="16" t="s">
        <v>84</v>
      </c>
      <c r="AF79" s="17"/>
      <c r="AG79" s="20">
        <f>Assumptions!$D$16</f>
        <v>1</v>
      </c>
      <c r="AH79" s="30" t="s">
        <v>33</v>
      </c>
      <c r="AI79" s="22">
        <f>Assumptions!$E$16</f>
        <v>0</v>
      </c>
      <c r="AJ79" s="30" t="s">
        <v>34</v>
      </c>
      <c r="AK79" s="19"/>
      <c r="AL79" s="20">
        <f>Assumptions!$F$16</f>
        <v>0</v>
      </c>
      <c r="AM79" s="55" t="s">
        <v>108</v>
      </c>
    </row>
    <row r="80" spans="1:39" ht="11.1" customHeight="1">
      <c r="A80" s="16" t="s">
        <v>85</v>
      </c>
      <c r="B80" s="17"/>
      <c r="C80" s="17"/>
      <c r="D80" s="23">
        <f>(A83*C83)+(A84*C84)+(A85*C85)+(A86*C86)+(A87*C87)</f>
        <v>18369</v>
      </c>
      <c r="E80" s="55" t="s">
        <v>86</v>
      </c>
      <c r="F80" s="19"/>
      <c r="G80" s="24">
        <f>SUM(A90*C90)+(A91*C91)+(A92*C92)+(A95*C95)+(A96*C96)+(A97*C97)+(A100*C100)+(A101*C101)+(A102*C102)</f>
        <v>1726</v>
      </c>
      <c r="H80" s="30" t="s">
        <v>87</v>
      </c>
      <c r="I80" s="19"/>
      <c r="K80" s="16" t="s">
        <v>85</v>
      </c>
      <c r="L80" s="17"/>
      <c r="M80" s="17"/>
      <c r="N80" s="23">
        <f>(K83*M83)+(K84*M84)+(K85*M85)+(K86*M86)+(K87*M87)</f>
        <v>16328</v>
      </c>
      <c r="O80" s="55" t="s">
        <v>86</v>
      </c>
      <c r="P80" s="19"/>
      <c r="Q80" s="24">
        <f>SUM(K90*M90)+(K91*M91)+(K92*M92)+(K95*M95)+(K96*M96)+(K97*M97)+(K100*M100)+(K101*M101)+(K102*M102)</f>
        <v>3452</v>
      </c>
      <c r="R80" s="30" t="s">
        <v>87</v>
      </c>
      <c r="S80" s="19"/>
      <c r="U80" s="16" t="s">
        <v>85</v>
      </c>
      <c r="V80" s="17"/>
      <c r="W80" s="17"/>
      <c r="X80" s="23">
        <f>(U83*W83)+(U84*W84)+(U85*W85)+(U86*W86)+(U87*W87)</f>
        <v>14287</v>
      </c>
      <c r="Y80" s="55" t="s">
        <v>86</v>
      </c>
      <c r="Z80" s="19"/>
      <c r="AA80" s="24">
        <f>SUM(U90*W90)+(U91*W91)+(U92*W92)+(U95*W95)+(U96*W96)+(U97*W97)+(U100*W100)+(U101*W101)+(U102*W102)</f>
        <v>5178</v>
      </c>
      <c r="AB80" s="30" t="s">
        <v>87</v>
      </c>
      <c r="AC80" s="19"/>
      <c r="AE80" s="16" t="s">
        <v>85</v>
      </c>
      <c r="AF80" s="17"/>
      <c r="AG80" s="17"/>
      <c r="AH80" s="23">
        <f>(AE83*AG83)+(AE84*AG84)+(AE85*AG85)+(AE86*AG86)+(AE87*AG87)</f>
        <v>12246</v>
      </c>
      <c r="AI80" s="55" t="s">
        <v>86</v>
      </c>
      <c r="AJ80" s="19"/>
      <c r="AK80" s="24">
        <f>SUM(AE90*AG90)+(AE91*AG91)+(AE92*AG92)+(AE95*AG95)+(AE96*AG96)+(AE97*AG97)+(AE100*AG100)+(AE101*AG101)+(AE102*AG102)</f>
        <v>6904</v>
      </c>
      <c r="AL80" s="30" t="s">
        <v>87</v>
      </c>
      <c r="AM80" s="19"/>
    </row>
    <row r="81" spans="1:39" ht="11.1" customHeight="1">
      <c r="A81" s="25" t="s">
        <v>4</v>
      </c>
      <c r="B81" s="26"/>
      <c r="C81" s="26"/>
      <c r="D81" s="26"/>
      <c r="E81" s="26"/>
      <c r="F81" s="26"/>
      <c r="G81" s="26"/>
      <c r="H81" s="26"/>
      <c r="I81" s="27"/>
      <c r="K81" s="25" t="s">
        <v>4</v>
      </c>
      <c r="L81" s="26"/>
      <c r="M81" s="26"/>
      <c r="N81" s="26"/>
      <c r="O81" s="26"/>
      <c r="P81" s="26"/>
      <c r="Q81" s="26"/>
      <c r="R81" s="26"/>
      <c r="S81" s="27"/>
      <c r="U81" s="25" t="s">
        <v>4</v>
      </c>
      <c r="V81" s="26"/>
      <c r="W81" s="26"/>
      <c r="X81" s="26"/>
      <c r="Y81" s="26"/>
      <c r="Z81" s="26"/>
      <c r="AA81" s="26"/>
      <c r="AB81" s="26"/>
      <c r="AC81" s="27"/>
      <c r="AE81" s="25" t="s">
        <v>4</v>
      </c>
      <c r="AF81" s="26"/>
      <c r="AG81" s="26"/>
      <c r="AH81" s="26"/>
      <c r="AI81" s="26"/>
      <c r="AJ81" s="26"/>
      <c r="AK81" s="26"/>
      <c r="AL81" s="26"/>
      <c r="AM81" s="27"/>
    </row>
    <row r="82" spans="1:39" ht="11.1" customHeight="1">
      <c r="A82" s="17" t="s">
        <v>88</v>
      </c>
      <c r="B82" s="17"/>
      <c r="C82" s="28"/>
      <c r="D82" s="28"/>
      <c r="E82" s="28"/>
      <c r="F82" s="28"/>
      <c r="G82" s="28"/>
      <c r="H82" s="28"/>
      <c r="I82" s="19"/>
      <c r="K82" s="17" t="s">
        <v>88</v>
      </c>
      <c r="L82" s="17"/>
      <c r="M82" s="28"/>
      <c r="N82" s="28"/>
      <c r="O82" s="28"/>
      <c r="P82" s="28"/>
      <c r="Q82" s="28"/>
      <c r="R82" s="28"/>
      <c r="S82" s="19"/>
      <c r="U82" s="17" t="s">
        <v>88</v>
      </c>
      <c r="V82" s="17"/>
      <c r="W82" s="28"/>
      <c r="X82" s="28"/>
      <c r="Y82" s="28"/>
      <c r="Z82" s="28"/>
      <c r="AA82" s="28"/>
      <c r="AB82" s="28"/>
      <c r="AC82" s="19"/>
      <c r="AE82" s="17" t="s">
        <v>88</v>
      </c>
      <c r="AF82" s="17"/>
      <c r="AG82" s="28"/>
      <c r="AH82" s="28"/>
      <c r="AI82" s="28"/>
      <c r="AJ82" s="28"/>
      <c r="AK82" s="28"/>
      <c r="AL82" s="28"/>
      <c r="AM82" s="19"/>
    </row>
    <row r="83" spans="1:39" ht="11.1" customHeight="1">
      <c r="A83" s="29">
        <f>E78*0</f>
        <v>0</v>
      </c>
      <c r="B83" s="30" t="s">
        <v>36</v>
      </c>
      <c r="C83" s="31">
        <f>Assumptions!$B$22</f>
        <v>61</v>
      </c>
      <c r="D83" s="32" t="s">
        <v>5</v>
      </c>
      <c r="E83" s="18">
        <f>Assumptions!$C$32</f>
        <v>1950</v>
      </c>
      <c r="F83" s="32" t="s">
        <v>6</v>
      </c>
      <c r="G83" s="28"/>
      <c r="H83" s="28"/>
      <c r="I83" s="33">
        <f>A83*C83*E83</f>
        <v>0</v>
      </c>
      <c r="K83" s="29">
        <f>O78*0</f>
        <v>0</v>
      </c>
      <c r="L83" s="30" t="s">
        <v>36</v>
      </c>
      <c r="M83" s="31">
        <f>Assumptions!$B$22</f>
        <v>61</v>
      </c>
      <c r="N83" s="32" t="s">
        <v>5</v>
      </c>
      <c r="O83" s="18">
        <f>Assumptions!$C$33</f>
        <v>1950</v>
      </c>
      <c r="P83" s="32" t="s">
        <v>6</v>
      </c>
      <c r="Q83" s="28"/>
      <c r="R83" s="28"/>
      <c r="S83" s="33">
        <f>K83*M83*O83</f>
        <v>0</v>
      </c>
      <c r="U83" s="29">
        <f>Y78*0</f>
        <v>0</v>
      </c>
      <c r="V83" s="30" t="s">
        <v>36</v>
      </c>
      <c r="W83" s="31">
        <f>Assumptions!$B$22</f>
        <v>61</v>
      </c>
      <c r="X83" s="32" t="s">
        <v>5</v>
      </c>
      <c r="Y83" s="18">
        <f>Assumptions!$C$34</f>
        <v>1950</v>
      </c>
      <c r="Z83" s="32" t="s">
        <v>6</v>
      </c>
      <c r="AA83" s="28"/>
      <c r="AB83" s="28"/>
      <c r="AC83" s="33">
        <f>U83*W83*Y83</f>
        <v>0</v>
      </c>
      <c r="AE83" s="29">
        <f>AI78*0</f>
        <v>0</v>
      </c>
      <c r="AF83" s="30" t="s">
        <v>36</v>
      </c>
      <c r="AG83" s="31">
        <f>Assumptions!$B$22</f>
        <v>61</v>
      </c>
      <c r="AH83" s="32" t="s">
        <v>5</v>
      </c>
      <c r="AI83" s="18">
        <f>Assumptions!$C$35</f>
        <v>2050</v>
      </c>
      <c r="AJ83" s="32" t="s">
        <v>6</v>
      </c>
      <c r="AK83" s="28"/>
      <c r="AL83" s="28"/>
      <c r="AM83" s="33">
        <f>AE83*AG83*AI83</f>
        <v>0</v>
      </c>
    </row>
    <row r="84" spans="1:39" ht="11.1" customHeight="1">
      <c r="A84" s="29">
        <f>E78*0.25</f>
        <v>45</v>
      </c>
      <c r="B84" s="30" t="s">
        <v>37</v>
      </c>
      <c r="C84" s="31">
        <f>Assumptions!$B$23</f>
        <v>75</v>
      </c>
      <c r="D84" s="32" t="s">
        <v>5</v>
      </c>
      <c r="E84" s="18">
        <f>Assumptions!$D$32</f>
        <v>1950</v>
      </c>
      <c r="F84" s="32" t="s">
        <v>6</v>
      </c>
      <c r="G84" s="28"/>
      <c r="H84" s="28"/>
      <c r="I84" s="33">
        <f>A84*C84*E84</f>
        <v>6581250</v>
      </c>
      <c r="K84" s="29">
        <f>O78*0.25</f>
        <v>40</v>
      </c>
      <c r="L84" s="30" t="s">
        <v>37</v>
      </c>
      <c r="M84" s="31">
        <f>Assumptions!$B$23</f>
        <v>75</v>
      </c>
      <c r="N84" s="32" t="s">
        <v>5</v>
      </c>
      <c r="O84" s="18">
        <f>Assumptions!$D$33</f>
        <v>1950</v>
      </c>
      <c r="P84" s="32" t="s">
        <v>6</v>
      </c>
      <c r="Q84" s="28"/>
      <c r="R84" s="28"/>
      <c r="S84" s="33">
        <f>K84*M84*O84</f>
        <v>5850000</v>
      </c>
      <c r="U84" s="29">
        <f>Y78*0.25</f>
        <v>35</v>
      </c>
      <c r="V84" s="30" t="s">
        <v>37</v>
      </c>
      <c r="W84" s="31">
        <f>Assumptions!$B$23</f>
        <v>75</v>
      </c>
      <c r="X84" s="32" t="s">
        <v>5</v>
      </c>
      <c r="Y84" s="18">
        <f>Assumptions!$D$34</f>
        <v>1950</v>
      </c>
      <c r="Z84" s="32" t="s">
        <v>6</v>
      </c>
      <c r="AA84" s="28"/>
      <c r="AB84" s="28"/>
      <c r="AC84" s="33">
        <f>U84*W84*Y84</f>
        <v>5118750</v>
      </c>
      <c r="AE84" s="29">
        <f>AI78*0.25</f>
        <v>30</v>
      </c>
      <c r="AF84" s="30" t="s">
        <v>37</v>
      </c>
      <c r="AG84" s="31">
        <f>Assumptions!$B$23</f>
        <v>75</v>
      </c>
      <c r="AH84" s="32" t="s">
        <v>5</v>
      </c>
      <c r="AI84" s="18">
        <f>Assumptions!$D$35</f>
        <v>2050</v>
      </c>
      <c r="AJ84" s="32" t="s">
        <v>6</v>
      </c>
      <c r="AK84" s="28"/>
      <c r="AL84" s="28"/>
      <c r="AM84" s="33">
        <f>AE84*AG84*AI84</f>
        <v>4612500</v>
      </c>
    </row>
    <row r="85" spans="1:39" ht="11.1" customHeight="1">
      <c r="A85" s="29">
        <f>E78*0.35</f>
        <v>62.999999999999993</v>
      </c>
      <c r="B85" s="30" t="s">
        <v>38</v>
      </c>
      <c r="C85" s="31">
        <f>Assumptions!$B$24</f>
        <v>88</v>
      </c>
      <c r="D85" s="32" t="s">
        <v>5</v>
      </c>
      <c r="E85" s="18">
        <f>Assumptions!$E$32</f>
        <v>1950</v>
      </c>
      <c r="F85" s="32" t="s">
        <v>6</v>
      </c>
      <c r="G85" s="28"/>
      <c r="H85" s="28"/>
      <c r="I85" s="33">
        <f>A85*C85*E85</f>
        <v>10810799.999999998</v>
      </c>
      <c r="K85" s="29">
        <f>O78*0.35</f>
        <v>56</v>
      </c>
      <c r="L85" s="30" t="s">
        <v>38</v>
      </c>
      <c r="M85" s="31">
        <f>Assumptions!$B$24</f>
        <v>88</v>
      </c>
      <c r="N85" s="32" t="s">
        <v>5</v>
      </c>
      <c r="O85" s="18">
        <f>Assumptions!$E$33</f>
        <v>1950</v>
      </c>
      <c r="P85" s="32" t="s">
        <v>6</v>
      </c>
      <c r="Q85" s="28"/>
      <c r="R85" s="28"/>
      <c r="S85" s="33">
        <f>K85*M85*O85</f>
        <v>9609600</v>
      </c>
      <c r="U85" s="29">
        <f>Y78*0.35</f>
        <v>49</v>
      </c>
      <c r="V85" s="30" t="s">
        <v>38</v>
      </c>
      <c r="W85" s="31">
        <f>Assumptions!$B$24</f>
        <v>88</v>
      </c>
      <c r="X85" s="32" t="s">
        <v>5</v>
      </c>
      <c r="Y85" s="18">
        <f>Assumptions!$E$34</f>
        <v>1950</v>
      </c>
      <c r="Z85" s="32" t="s">
        <v>6</v>
      </c>
      <c r="AA85" s="28"/>
      <c r="AB85" s="28"/>
      <c r="AC85" s="33">
        <f>U85*W85*Y85</f>
        <v>8408400</v>
      </c>
      <c r="AE85" s="29">
        <f>AI78*0.35</f>
        <v>42</v>
      </c>
      <c r="AF85" s="30" t="s">
        <v>38</v>
      </c>
      <c r="AG85" s="31">
        <f>Assumptions!$B$24</f>
        <v>88</v>
      </c>
      <c r="AH85" s="32" t="s">
        <v>5</v>
      </c>
      <c r="AI85" s="18">
        <f>Assumptions!$E$35</f>
        <v>2050</v>
      </c>
      <c r="AJ85" s="32" t="s">
        <v>6</v>
      </c>
      <c r="AK85" s="28"/>
      <c r="AL85" s="28"/>
      <c r="AM85" s="33">
        <f>AE85*AG85*AI85</f>
        <v>7576800</v>
      </c>
    </row>
    <row r="86" spans="1:39" ht="11.1" customHeight="1">
      <c r="A86" s="29">
        <f>E78*0.25</f>
        <v>45</v>
      </c>
      <c r="B86" s="30" t="s">
        <v>39</v>
      </c>
      <c r="C86" s="31">
        <f>Assumptions!$B$25</f>
        <v>120</v>
      </c>
      <c r="D86" s="32" t="s">
        <v>5</v>
      </c>
      <c r="E86" s="18">
        <f>Assumptions!$F$32</f>
        <v>1950</v>
      </c>
      <c r="F86" s="32" t="s">
        <v>6</v>
      </c>
      <c r="G86" s="28"/>
      <c r="H86" s="28"/>
      <c r="I86" s="33">
        <f>A86*C86*E86</f>
        <v>10530000</v>
      </c>
      <c r="K86" s="29">
        <f>O78*0.25</f>
        <v>40</v>
      </c>
      <c r="L86" s="30" t="s">
        <v>39</v>
      </c>
      <c r="M86" s="31">
        <f>Assumptions!$B$25</f>
        <v>120</v>
      </c>
      <c r="N86" s="32" t="s">
        <v>5</v>
      </c>
      <c r="O86" s="18">
        <f>Assumptions!$F$33</f>
        <v>1950</v>
      </c>
      <c r="P86" s="32" t="s">
        <v>6</v>
      </c>
      <c r="Q86" s="28"/>
      <c r="R86" s="28"/>
      <c r="S86" s="33">
        <f>K86*M86*O86</f>
        <v>9360000</v>
      </c>
      <c r="U86" s="29">
        <f>Y78*0.25</f>
        <v>35</v>
      </c>
      <c r="V86" s="30" t="s">
        <v>39</v>
      </c>
      <c r="W86" s="31">
        <f>Assumptions!$B$25</f>
        <v>120</v>
      </c>
      <c r="X86" s="32" t="s">
        <v>5</v>
      </c>
      <c r="Y86" s="18">
        <f>Assumptions!$F$34</f>
        <v>1950</v>
      </c>
      <c r="Z86" s="32" t="s">
        <v>6</v>
      </c>
      <c r="AA86" s="28"/>
      <c r="AB86" s="28"/>
      <c r="AC86" s="33">
        <f>U86*W86*Y86</f>
        <v>8190000</v>
      </c>
      <c r="AE86" s="29">
        <f>AI78*0.25</f>
        <v>30</v>
      </c>
      <c r="AF86" s="30" t="s">
        <v>39</v>
      </c>
      <c r="AG86" s="31">
        <f>Assumptions!$B$25</f>
        <v>120</v>
      </c>
      <c r="AH86" s="32" t="s">
        <v>5</v>
      </c>
      <c r="AI86" s="18">
        <f>Assumptions!$F$35</f>
        <v>2050</v>
      </c>
      <c r="AJ86" s="32" t="s">
        <v>6</v>
      </c>
      <c r="AK86" s="28"/>
      <c r="AL86" s="28"/>
      <c r="AM86" s="33">
        <f>AE86*AG86*AI86</f>
        <v>7380000</v>
      </c>
    </row>
    <row r="87" spans="1:39" ht="11.1" customHeight="1">
      <c r="A87" s="29">
        <f>E78*0.15</f>
        <v>27</v>
      </c>
      <c r="B87" s="30" t="s">
        <v>40</v>
      </c>
      <c r="C87" s="18">
        <f>Assumptions!$B$26</f>
        <v>150</v>
      </c>
      <c r="D87" s="32" t="s">
        <v>5</v>
      </c>
      <c r="E87" s="18">
        <f>Assumptions!$G$32</f>
        <v>1950</v>
      </c>
      <c r="F87" s="32" t="s">
        <v>6</v>
      </c>
      <c r="G87" s="28"/>
      <c r="H87" s="28"/>
      <c r="I87" s="33">
        <f>A87*C87*E87</f>
        <v>7897500</v>
      </c>
      <c r="K87" s="29">
        <f>O78*0.15</f>
        <v>24</v>
      </c>
      <c r="L87" s="30" t="s">
        <v>40</v>
      </c>
      <c r="M87" s="18">
        <f>Assumptions!$B$26</f>
        <v>150</v>
      </c>
      <c r="N87" s="32" t="s">
        <v>5</v>
      </c>
      <c r="O87" s="18">
        <f>Assumptions!$G$33</f>
        <v>1950</v>
      </c>
      <c r="P87" s="32" t="s">
        <v>6</v>
      </c>
      <c r="Q87" s="28"/>
      <c r="R87" s="28"/>
      <c r="S87" s="33">
        <f>K87*M87*O87</f>
        <v>7020000</v>
      </c>
      <c r="U87" s="29">
        <f>Y78*0.15</f>
        <v>21</v>
      </c>
      <c r="V87" s="30" t="s">
        <v>40</v>
      </c>
      <c r="W87" s="18">
        <f>Assumptions!$B$26</f>
        <v>150</v>
      </c>
      <c r="X87" s="32" t="s">
        <v>5</v>
      </c>
      <c r="Y87" s="18">
        <f>Assumptions!$G$34</f>
        <v>1950</v>
      </c>
      <c r="Z87" s="32" t="s">
        <v>6</v>
      </c>
      <c r="AA87" s="28"/>
      <c r="AB87" s="28"/>
      <c r="AC87" s="33">
        <f>U87*W87*Y87</f>
        <v>6142500</v>
      </c>
      <c r="AE87" s="29">
        <f>AI78*0.15</f>
        <v>18</v>
      </c>
      <c r="AF87" s="30" t="s">
        <v>40</v>
      </c>
      <c r="AG87" s="18">
        <f>Assumptions!$B$26</f>
        <v>150</v>
      </c>
      <c r="AH87" s="32" t="s">
        <v>5</v>
      </c>
      <c r="AI87" s="18">
        <f>Assumptions!$G$35</f>
        <v>2050</v>
      </c>
      <c r="AJ87" s="32" t="s">
        <v>6</v>
      </c>
      <c r="AK87" s="28"/>
      <c r="AL87" s="28"/>
      <c r="AM87" s="33">
        <f>AE87*AG87*AI87</f>
        <v>5535000</v>
      </c>
    </row>
    <row r="88" spans="1:39" ht="11.1" customHeight="1">
      <c r="A88" s="26"/>
      <c r="B88" s="26"/>
      <c r="C88" s="26"/>
      <c r="D88" s="34"/>
      <c r="E88" s="26"/>
      <c r="F88" s="34"/>
      <c r="G88" s="26"/>
      <c r="H88" s="26"/>
      <c r="I88" s="35"/>
      <c r="K88" s="26"/>
      <c r="L88" s="26"/>
      <c r="M88" s="26"/>
      <c r="N88" s="34"/>
      <c r="O88" s="26"/>
      <c r="P88" s="34"/>
      <c r="Q88" s="26"/>
      <c r="R88" s="26"/>
      <c r="S88" s="35"/>
      <c r="U88" s="26"/>
      <c r="V88" s="26"/>
      <c r="W88" s="26"/>
      <c r="X88" s="34"/>
      <c r="Y88" s="26"/>
      <c r="Z88" s="34"/>
      <c r="AA88" s="26"/>
      <c r="AB88" s="26"/>
      <c r="AC88" s="35"/>
      <c r="AE88" s="26"/>
      <c r="AF88" s="26"/>
      <c r="AG88" s="26"/>
      <c r="AH88" s="34"/>
      <c r="AI88" s="26"/>
      <c r="AJ88" s="34"/>
      <c r="AK88" s="26"/>
      <c r="AL88" s="26"/>
      <c r="AM88" s="35"/>
    </row>
    <row r="89" spans="1:39" ht="11.1" customHeight="1">
      <c r="A89" s="17" t="str">
        <f>Assumptions!$D$12</f>
        <v>Neutral Tenure</v>
      </c>
      <c r="B89" s="17"/>
      <c r="C89"/>
      <c r="D89"/>
      <c r="E89" s="28"/>
      <c r="F89" s="32"/>
      <c r="G89" s="28"/>
      <c r="H89" s="28"/>
      <c r="I89" s="36"/>
      <c r="J89"/>
      <c r="K89" s="17" t="str">
        <f>Assumptions!$D$12</f>
        <v>Neutral Tenure</v>
      </c>
      <c r="L89" s="17"/>
      <c r="M89"/>
      <c r="N89"/>
      <c r="O89" s="28"/>
      <c r="P89" s="32"/>
      <c r="Q89" s="28"/>
      <c r="R89" s="28"/>
      <c r="S89" s="36"/>
      <c r="T89"/>
      <c r="U89" s="17" t="str">
        <f>Assumptions!$D$12</f>
        <v>Neutral Tenure</v>
      </c>
      <c r="V89" s="17"/>
      <c r="W89"/>
      <c r="X89"/>
      <c r="Y89" s="28"/>
      <c r="Z89" s="32"/>
      <c r="AA89" s="28"/>
      <c r="AB89" s="28"/>
      <c r="AC89" s="36"/>
      <c r="AD89"/>
      <c r="AE89" s="17" t="str">
        <f>Assumptions!$D$12</f>
        <v>Neutral Tenure</v>
      </c>
      <c r="AF89" s="17"/>
      <c r="AG89"/>
      <c r="AH89"/>
      <c r="AI89" s="28"/>
      <c r="AJ89" s="32"/>
      <c r="AK89" s="28"/>
      <c r="AL89" s="28"/>
      <c r="AM89" s="36"/>
    </row>
    <row r="90" spans="1:39" ht="11.1" customHeight="1">
      <c r="A90" s="29">
        <f>H78*C79*Assumptions!$H$13</f>
        <v>0</v>
      </c>
      <c r="B90" s="30" t="s">
        <v>36</v>
      </c>
      <c r="C90" s="37">
        <f>Assumptions!$E$24</f>
        <v>65</v>
      </c>
      <c r="D90" s="32" t="s">
        <v>7</v>
      </c>
      <c r="E90" s="28">
        <f>Assumptions!$C$37</f>
        <v>921</v>
      </c>
      <c r="F90" s="32" t="s">
        <v>6</v>
      </c>
      <c r="G90" s="28"/>
      <c r="H90" s="28"/>
      <c r="I90" s="33">
        <f>A90*C90*E90</f>
        <v>0</v>
      </c>
      <c r="J90"/>
      <c r="K90" s="29">
        <f>R78*M79*Assumptions!$H$13</f>
        <v>0</v>
      </c>
      <c r="L90" s="30" t="s">
        <v>36</v>
      </c>
      <c r="M90" s="37">
        <f>Assumptions!$E$24</f>
        <v>65</v>
      </c>
      <c r="N90" s="32" t="s">
        <v>7</v>
      </c>
      <c r="O90" s="28">
        <f>Assumptions!$C$38</f>
        <v>925</v>
      </c>
      <c r="P90" s="32" t="s">
        <v>6</v>
      </c>
      <c r="Q90" s="28"/>
      <c r="R90" s="28"/>
      <c r="S90" s="33">
        <f>K90*M90*O90</f>
        <v>0</v>
      </c>
      <c r="T90"/>
      <c r="U90" s="29">
        <f>AB78*W79*Assumptions!$H$13</f>
        <v>0</v>
      </c>
      <c r="V90" s="30" t="s">
        <v>36</v>
      </c>
      <c r="W90" s="37">
        <f>Assumptions!$E$24</f>
        <v>65</v>
      </c>
      <c r="X90" s="32" t="s">
        <v>7</v>
      </c>
      <c r="Y90" s="28">
        <f>Assumptions!$C$39</f>
        <v>948</v>
      </c>
      <c r="Z90" s="32" t="s">
        <v>6</v>
      </c>
      <c r="AA90" s="28"/>
      <c r="AB90" s="28"/>
      <c r="AC90" s="33">
        <f>U90*W90*Y90</f>
        <v>0</v>
      </c>
      <c r="AD90"/>
      <c r="AE90" s="29">
        <f>AL78*AG79*Assumptions!$H$13</f>
        <v>0</v>
      </c>
      <c r="AF90" s="30" t="s">
        <v>36</v>
      </c>
      <c r="AG90" s="37">
        <f>Assumptions!$E$24</f>
        <v>65</v>
      </c>
      <c r="AH90" s="32" t="s">
        <v>7</v>
      </c>
      <c r="AI90" s="28">
        <f>Assumptions!$C$40</f>
        <v>1027</v>
      </c>
      <c r="AJ90" s="32" t="s">
        <v>6</v>
      </c>
      <c r="AK90" s="28"/>
      <c r="AL90" s="28"/>
      <c r="AM90" s="33">
        <f>AE90*AG90*AI90</f>
        <v>0</v>
      </c>
    </row>
    <row r="91" spans="1:39" ht="11.1" customHeight="1">
      <c r="A91" s="29">
        <f>H78*C79*Assumptions!$H$14</f>
        <v>14</v>
      </c>
      <c r="B91" s="30" t="s">
        <v>90</v>
      </c>
      <c r="C91" s="37">
        <f>Assumptions!$E$25</f>
        <v>83</v>
      </c>
      <c r="D91" s="32" t="s">
        <v>7</v>
      </c>
      <c r="E91" s="28">
        <f>Assumptions!$D$37</f>
        <v>891</v>
      </c>
      <c r="F91" s="32" t="s">
        <v>6</v>
      </c>
      <c r="G91" s="28"/>
      <c r="H91" s="28"/>
      <c r="I91" s="33">
        <f>A91*C91*E91</f>
        <v>1035342</v>
      </c>
      <c r="J91"/>
      <c r="K91" s="29">
        <f>R78*M79*Assumptions!$H$14</f>
        <v>28</v>
      </c>
      <c r="L91" s="30" t="s">
        <v>90</v>
      </c>
      <c r="M91" s="37">
        <f>Assumptions!$E$25</f>
        <v>83</v>
      </c>
      <c r="N91" s="32" t="s">
        <v>7</v>
      </c>
      <c r="O91" s="28">
        <f>Assumptions!$D$38</f>
        <v>898</v>
      </c>
      <c r="P91" s="32" t="s">
        <v>6</v>
      </c>
      <c r="Q91" s="28"/>
      <c r="R91" s="28"/>
      <c r="S91" s="33">
        <f>K91*M91*O91</f>
        <v>2086952</v>
      </c>
      <c r="T91"/>
      <c r="U91" s="29">
        <f>AB78*W79*Assumptions!$H$14</f>
        <v>42</v>
      </c>
      <c r="V91" s="30" t="s">
        <v>90</v>
      </c>
      <c r="W91" s="37">
        <f>Assumptions!$E$25</f>
        <v>83</v>
      </c>
      <c r="X91" s="32" t="s">
        <v>7</v>
      </c>
      <c r="Y91" s="28">
        <f>Assumptions!$D$39</f>
        <v>932</v>
      </c>
      <c r="Z91" s="32" t="s">
        <v>6</v>
      </c>
      <c r="AA91" s="28"/>
      <c r="AB91" s="28"/>
      <c r="AC91" s="33">
        <f>U91*W91*Y91</f>
        <v>3248952</v>
      </c>
      <c r="AD91"/>
      <c r="AE91" s="29">
        <f>AL78*AG79*Assumptions!$H$14</f>
        <v>56</v>
      </c>
      <c r="AF91" s="30" t="s">
        <v>90</v>
      </c>
      <c r="AG91" s="37">
        <f>Assumptions!$E$25</f>
        <v>83</v>
      </c>
      <c r="AH91" s="32" t="s">
        <v>7</v>
      </c>
      <c r="AI91" s="28">
        <f>Assumptions!$D$40</f>
        <v>1057</v>
      </c>
      <c r="AJ91" s="32" t="s">
        <v>6</v>
      </c>
      <c r="AK91" s="28"/>
      <c r="AL91" s="28"/>
      <c r="AM91" s="33">
        <f>AE91*AG91*AI91</f>
        <v>4912936</v>
      </c>
    </row>
    <row r="92" spans="1:39" ht="11.1" customHeight="1">
      <c r="A92" s="29">
        <f>H78*C79*Assumptions!$H$15</f>
        <v>6</v>
      </c>
      <c r="B92" s="30" t="s">
        <v>91</v>
      </c>
      <c r="C92" s="37">
        <f>Assumptions!$E$26</f>
        <v>94</v>
      </c>
      <c r="D92" s="32" t="s">
        <v>7</v>
      </c>
      <c r="E92" s="28">
        <f>Assumptions!$E$37</f>
        <v>848</v>
      </c>
      <c r="F92" s="32" t="s">
        <v>6</v>
      </c>
      <c r="G92" s="28"/>
      <c r="H92" s="28"/>
      <c r="I92" s="33">
        <f>A92*C92*E92</f>
        <v>478272</v>
      </c>
      <c r="J92"/>
      <c r="K92" s="29">
        <f>R78*M79*Assumptions!$H$15</f>
        <v>12</v>
      </c>
      <c r="L92" s="30" t="s">
        <v>91</v>
      </c>
      <c r="M92" s="37">
        <f>Assumptions!$E$26</f>
        <v>94</v>
      </c>
      <c r="N92" s="32" t="s">
        <v>7</v>
      </c>
      <c r="O92" s="28">
        <f>Assumptions!$E$38</f>
        <v>855</v>
      </c>
      <c r="P92" s="32" t="s">
        <v>6</v>
      </c>
      <c r="Q92" s="28"/>
      <c r="R92" s="28"/>
      <c r="S92" s="33">
        <f>K92*M92*O92</f>
        <v>964440</v>
      </c>
      <c r="T92"/>
      <c r="U92" s="29">
        <f>AB78*W79*Assumptions!$H$15</f>
        <v>18</v>
      </c>
      <c r="V92" s="30" t="s">
        <v>91</v>
      </c>
      <c r="W92" s="37">
        <f>Assumptions!$E$26</f>
        <v>94</v>
      </c>
      <c r="X92" s="32" t="s">
        <v>7</v>
      </c>
      <c r="Y92" s="28">
        <f>Assumptions!$E$39</f>
        <v>886</v>
      </c>
      <c r="Z92" s="32" t="s">
        <v>6</v>
      </c>
      <c r="AA92" s="28"/>
      <c r="AB92" s="28"/>
      <c r="AC92" s="33">
        <f>U92*W92*Y92</f>
        <v>1499112</v>
      </c>
      <c r="AD92"/>
      <c r="AE92" s="29">
        <f>AL78*AG79*Assumptions!$H$15</f>
        <v>24</v>
      </c>
      <c r="AF92" s="30" t="s">
        <v>91</v>
      </c>
      <c r="AG92" s="37">
        <f>Assumptions!$E$26</f>
        <v>94</v>
      </c>
      <c r="AH92" s="32" t="s">
        <v>7</v>
      </c>
      <c r="AI92" s="28">
        <f>Assumptions!$E$40</f>
        <v>1001</v>
      </c>
      <c r="AJ92" s="32" t="s">
        <v>6</v>
      </c>
      <c r="AK92" s="28"/>
      <c r="AL92" s="28"/>
      <c r="AM92" s="33">
        <f>AE92*AG92*AI92</f>
        <v>2258256</v>
      </c>
    </row>
    <row r="93" spans="1:39" ht="11.1" customHeight="1">
      <c r="A93" s="38"/>
      <c r="B93" s="26"/>
      <c r="C93" s="39"/>
      <c r="D93" s="34"/>
      <c r="E93" s="26"/>
      <c r="F93" s="34"/>
      <c r="G93" s="26"/>
      <c r="H93" s="26"/>
      <c r="I93" s="40"/>
      <c r="K93" s="38"/>
      <c r="L93" s="26"/>
      <c r="M93" s="39"/>
      <c r="N93" s="34"/>
      <c r="O93" s="26"/>
      <c r="P93" s="34"/>
      <c r="Q93" s="26"/>
      <c r="R93" s="26"/>
      <c r="S93" s="40"/>
      <c r="U93" s="38"/>
      <c r="V93" s="26"/>
      <c r="W93" s="39"/>
      <c r="X93" s="34"/>
      <c r="Y93" s="26"/>
      <c r="Z93" s="34"/>
      <c r="AA93" s="26"/>
      <c r="AB93" s="26"/>
      <c r="AC93" s="40"/>
      <c r="AE93" s="38"/>
      <c r="AF93" s="26"/>
      <c r="AG93" s="39"/>
      <c r="AH93" s="34"/>
      <c r="AI93" s="26"/>
      <c r="AJ93" s="34"/>
      <c r="AK93" s="26"/>
      <c r="AL93" s="26"/>
      <c r="AM93" s="40"/>
    </row>
    <row r="94" spans="1:39" ht="11.1" customHeight="1">
      <c r="A94" s="17" t="s">
        <v>92</v>
      </c>
      <c r="B94" s="17"/>
      <c r="C94" s="20">
        <f>Assumptions!$E$18</f>
        <v>0</v>
      </c>
      <c r="D94" s="32" t="s">
        <v>89</v>
      </c>
      <c r="E94" s="28"/>
      <c r="F94" s="32"/>
      <c r="G94" s="28"/>
      <c r="H94" s="28"/>
      <c r="I94" s="36"/>
      <c r="K94" s="17" t="s">
        <v>92</v>
      </c>
      <c r="L94" s="17"/>
      <c r="M94" s="20">
        <f>Assumptions!$E$18</f>
        <v>0</v>
      </c>
      <c r="N94" s="32" t="s">
        <v>89</v>
      </c>
      <c r="O94" s="28"/>
      <c r="P94" s="32"/>
      <c r="Q94" s="28"/>
      <c r="R94" s="28"/>
      <c r="S94" s="36"/>
      <c r="U94" s="17" t="s">
        <v>92</v>
      </c>
      <c r="V94" s="17"/>
      <c r="W94" s="20">
        <f>Assumptions!$E$18</f>
        <v>0</v>
      </c>
      <c r="X94" s="32" t="s">
        <v>89</v>
      </c>
      <c r="Y94" s="28"/>
      <c r="Z94" s="32"/>
      <c r="AA94" s="28"/>
      <c r="AB94" s="28"/>
      <c r="AC94" s="36"/>
      <c r="AE94" s="17" t="s">
        <v>92</v>
      </c>
      <c r="AF94" s="17"/>
      <c r="AG94" s="20">
        <f>Assumptions!$E$18</f>
        <v>0</v>
      </c>
      <c r="AH94" s="32" t="s">
        <v>89</v>
      </c>
      <c r="AI94" s="28"/>
      <c r="AJ94" s="32"/>
      <c r="AK94" s="28"/>
      <c r="AL94" s="28"/>
      <c r="AM94" s="36"/>
    </row>
    <row r="95" spans="1:39" ht="11.1" customHeight="1">
      <c r="A95" s="29">
        <f>H78*E79*0.3</f>
        <v>0</v>
      </c>
      <c r="B95" s="30" t="s">
        <v>36</v>
      </c>
      <c r="C95" s="37">
        <f>C83</f>
        <v>61</v>
      </c>
      <c r="D95" s="32" t="s">
        <v>93</v>
      </c>
      <c r="E95" s="28">
        <f>E83*C94</f>
        <v>0</v>
      </c>
      <c r="F95" s="32" t="s">
        <v>6</v>
      </c>
      <c r="G95" s="28"/>
      <c r="H95" s="28"/>
      <c r="I95" s="33">
        <f>A95*C95*E95</f>
        <v>0</v>
      </c>
      <c r="K95" s="29">
        <f>R78*O79*0.3</f>
        <v>0</v>
      </c>
      <c r="L95" s="30" t="s">
        <v>36</v>
      </c>
      <c r="M95" s="37">
        <f>M83</f>
        <v>61</v>
      </c>
      <c r="N95" s="32" t="s">
        <v>93</v>
      </c>
      <c r="O95" s="28">
        <f>O83*M94</f>
        <v>0</v>
      </c>
      <c r="P95" s="32" t="s">
        <v>6</v>
      </c>
      <c r="Q95" s="28"/>
      <c r="R95" s="28"/>
      <c r="S95" s="33">
        <f>K95*M95*O95</f>
        <v>0</v>
      </c>
      <c r="U95" s="29">
        <f>AB78*Y79*0.3</f>
        <v>0</v>
      </c>
      <c r="V95" s="30" t="s">
        <v>36</v>
      </c>
      <c r="W95" s="37">
        <f>W83</f>
        <v>61</v>
      </c>
      <c r="X95" s="32" t="s">
        <v>93</v>
      </c>
      <c r="Y95" s="28">
        <f>Y83*W94</f>
        <v>0</v>
      </c>
      <c r="Z95" s="32" t="s">
        <v>6</v>
      </c>
      <c r="AA95" s="28"/>
      <c r="AB95" s="28"/>
      <c r="AC95" s="33">
        <f>U95*W95*Y95</f>
        <v>0</v>
      </c>
      <c r="AE95" s="29">
        <f>AL78*AI79*0.3</f>
        <v>0</v>
      </c>
      <c r="AF95" s="30" t="s">
        <v>36</v>
      </c>
      <c r="AG95" s="37">
        <f>AG83</f>
        <v>61</v>
      </c>
      <c r="AH95" s="32" t="s">
        <v>93</v>
      </c>
      <c r="AI95" s="28">
        <f>AI83*AG94</f>
        <v>0</v>
      </c>
      <c r="AJ95" s="32" t="s">
        <v>6</v>
      </c>
      <c r="AK95" s="28"/>
      <c r="AL95" s="28"/>
      <c r="AM95" s="33">
        <f>AE95*AG95*AI95</f>
        <v>0</v>
      </c>
    </row>
    <row r="96" spans="1:39" ht="11.1" customHeight="1">
      <c r="A96" s="29">
        <f>H78*E79*0.5</f>
        <v>0</v>
      </c>
      <c r="B96" s="30" t="s">
        <v>90</v>
      </c>
      <c r="C96" s="37">
        <f>C84</f>
        <v>75</v>
      </c>
      <c r="D96" s="32" t="s">
        <v>93</v>
      </c>
      <c r="E96" s="28">
        <f>E84*C94</f>
        <v>0</v>
      </c>
      <c r="F96" s="32" t="s">
        <v>6</v>
      </c>
      <c r="G96" s="28"/>
      <c r="H96" s="28"/>
      <c r="I96" s="33">
        <f>A96*C96*E96</f>
        <v>0</v>
      </c>
      <c r="K96" s="29">
        <f>R78*O79*0.5</f>
        <v>0</v>
      </c>
      <c r="L96" s="30" t="s">
        <v>90</v>
      </c>
      <c r="M96" s="37">
        <f>M84</f>
        <v>75</v>
      </c>
      <c r="N96" s="32" t="s">
        <v>93</v>
      </c>
      <c r="O96" s="28">
        <f>O84*M94</f>
        <v>0</v>
      </c>
      <c r="P96" s="32" t="s">
        <v>6</v>
      </c>
      <c r="Q96" s="28"/>
      <c r="R96" s="28"/>
      <c r="S96" s="33">
        <f>K96*M96*O96</f>
        <v>0</v>
      </c>
      <c r="U96" s="29">
        <f>AB78*Y79*0.5</f>
        <v>0</v>
      </c>
      <c r="V96" s="30" t="s">
        <v>90</v>
      </c>
      <c r="W96" s="37">
        <f>W84</f>
        <v>75</v>
      </c>
      <c r="X96" s="32" t="s">
        <v>93</v>
      </c>
      <c r="Y96" s="28">
        <f>Y84*W94</f>
        <v>0</v>
      </c>
      <c r="Z96" s="32" t="s">
        <v>6</v>
      </c>
      <c r="AA96" s="28"/>
      <c r="AB96" s="28"/>
      <c r="AC96" s="33">
        <f>U96*W96*Y96</f>
        <v>0</v>
      </c>
      <c r="AE96" s="29">
        <f>AL78*AI79*0.5</f>
        <v>0</v>
      </c>
      <c r="AF96" s="30" t="s">
        <v>90</v>
      </c>
      <c r="AG96" s="37">
        <f>AG84</f>
        <v>75</v>
      </c>
      <c r="AH96" s="32" t="s">
        <v>93</v>
      </c>
      <c r="AI96" s="28">
        <f>AI84*AG94</f>
        <v>0</v>
      </c>
      <c r="AJ96" s="32" t="s">
        <v>6</v>
      </c>
      <c r="AK96" s="28"/>
      <c r="AL96" s="28"/>
      <c r="AM96" s="33">
        <f>AE96*AG96*AI96</f>
        <v>0</v>
      </c>
    </row>
    <row r="97" spans="1:39" ht="11.1" customHeight="1">
      <c r="A97" s="29">
        <f>H78*E79*0.2</f>
        <v>0</v>
      </c>
      <c r="B97" s="30" t="s">
        <v>91</v>
      </c>
      <c r="C97" s="37">
        <f>C85</f>
        <v>88</v>
      </c>
      <c r="D97" s="32" t="s">
        <v>93</v>
      </c>
      <c r="E97" s="28">
        <f>E85*C94</f>
        <v>0</v>
      </c>
      <c r="F97" s="32" t="s">
        <v>6</v>
      </c>
      <c r="G97" s="28"/>
      <c r="H97" s="28"/>
      <c r="I97" s="33">
        <f>A97*C97*E97</f>
        <v>0</v>
      </c>
      <c r="K97" s="29">
        <f>R78*O79*0.2</f>
        <v>0</v>
      </c>
      <c r="L97" s="30" t="s">
        <v>91</v>
      </c>
      <c r="M97" s="37">
        <f>M85</f>
        <v>88</v>
      </c>
      <c r="N97" s="32" t="s">
        <v>93</v>
      </c>
      <c r="O97" s="28">
        <f>O85*M94</f>
        <v>0</v>
      </c>
      <c r="P97" s="32" t="s">
        <v>6</v>
      </c>
      <c r="Q97" s="28"/>
      <c r="R97" s="28"/>
      <c r="S97" s="33">
        <f>K97*M97*O97</f>
        <v>0</v>
      </c>
      <c r="U97" s="29">
        <f>AB78*Y79*0.2</f>
        <v>0</v>
      </c>
      <c r="V97" s="30" t="s">
        <v>91</v>
      </c>
      <c r="W97" s="37">
        <f>W85</f>
        <v>88</v>
      </c>
      <c r="X97" s="32" t="s">
        <v>93</v>
      </c>
      <c r="Y97" s="28">
        <f>Y85*W94</f>
        <v>0</v>
      </c>
      <c r="Z97" s="32" t="s">
        <v>6</v>
      </c>
      <c r="AA97" s="28"/>
      <c r="AB97" s="28"/>
      <c r="AC97" s="33">
        <f>U97*W97*Y97</f>
        <v>0</v>
      </c>
      <c r="AE97" s="29">
        <f>AL78*AI79*0.2</f>
        <v>0</v>
      </c>
      <c r="AF97" s="30" t="s">
        <v>91</v>
      </c>
      <c r="AG97" s="37">
        <f>AG85</f>
        <v>88</v>
      </c>
      <c r="AH97" s="32" t="s">
        <v>93</v>
      </c>
      <c r="AI97" s="28">
        <f>AI85*AG94</f>
        <v>0</v>
      </c>
      <c r="AJ97" s="32" t="s">
        <v>6</v>
      </c>
      <c r="AK97" s="28"/>
      <c r="AL97" s="28"/>
      <c r="AM97" s="33">
        <f>AE97*AG97*AI97</f>
        <v>0</v>
      </c>
    </row>
    <row r="98" spans="1:39" ht="11.1" customHeight="1">
      <c r="A98" s="38"/>
      <c r="B98" s="26"/>
      <c r="C98" s="39"/>
      <c r="D98" s="34"/>
      <c r="E98" s="26"/>
      <c r="F98" s="34"/>
      <c r="G98" s="26"/>
      <c r="H98" s="26"/>
      <c r="I98" s="40"/>
      <c r="K98" s="38"/>
      <c r="L98" s="26"/>
      <c r="M98" s="39"/>
      <c r="N98" s="34"/>
      <c r="O98" s="26"/>
      <c r="P98" s="34"/>
      <c r="Q98" s="26"/>
      <c r="R98" s="26"/>
      <c r="S98" s="40"/>
      <c r="U98" s="38"/>
      <c r="V98" s="26"/>
      <c r="W98" s="39"/>
      <c r="X98" s="34"/>
      <c r="Y98" s="26"/>
      <c r="Z98" s="34"/>
      <c r="AA98" s="26"/>
      <c r="AB98" s="26"/>
      <c r="AC98" s="40"/>
      <c r="AE98" s="38"/>
      <c r="AF98" s="26"/>
      <c r="AG98" s="39"/>
      <c r="AH98" s="34"/>
      <c r="AI98" s="26"/>
      <c r="AJ98" s="34"/>
      <c r="AK98" s="26"/>
      <c r="AL98" s="26"/>
      <c r="AM98" s="40"/>
    </row>
    <row r="99" spans="1:39" ht="11.1" customHeight="1">
      <c r="A99" s="17" t="s">
        <v>94</v>
      </c>
      <c r="B99" s="17"/>
      <c r="C99" s="20">
        <f>Assumptions!$F$18</f>
        <v>0</v>
      </c>
      <c r="D99" s="32" t="s">
        <v>89</v>
      </c>
      <c r="E99" s="28"/>
      <c r="F99" s="32"/>
      <c r="G99" s="28"/>
      <c r="H99" s="28"/>
      <c r="I99" s="36"/>
      <c r="K99" s="17" t="s">
        <v>94</v>
      </c>
      <c r="L99" s="17"/>
      <c r="M99" s="20">
        <f>Assumptions!$F$18</f>
        <v>0</v>
      </c>
      <c r="N99" s="32" t="s">
        <v>89</v>
      </c>
      <c r="O99" s="28"/>
      <c r="P99" s="32"/>
      <c r="Q99" s="28"/>
      <c r="R99" s="28"/>
      <c r="S99" s="36"/>
      <c r="U99" s="17" t="s">
        <v>94</v>
      </c>
      <c r="V99" s="17"/>
      <c r="W99" s="20">
        <f>Assumptions!$F$18</f>
        <v>0</v>
      </c>
      <c r="X99" s="32" t="s">
        <v>89</v>
      </c>
      <c r="Y99" s="28"/>
      <c r="Z99" s="32"/>
      <c r="AA99" s="28"/>
      <c r="AB99" s="28"/>
      <c r="AC99" s="36"/>
      <c r="AE99" s="17" t="s">
        <v>94</v>
      </c>
      <c r="AF99" s="17"/>
      <c r="AG99" s="20">
        <f>Assumptions!$F$18</f>
        <v>0</v>
      </c>
      <c r="AH99" s="32" t="s">
        <v>89</v>
      </c>
      <c r="AI99" s="28"/>
      <c r="AJ99" s="32"/>
      <c r="AK99" s="28"/>
      <c r="AL99" s="28"/>
      <c r="AM99" s="36"/>
    </row>
    <row r="100" spans="1:39" ht="11.1" customHeight="1">
      <c r="A100" s="29">
        <f>H78*H79*0.3</f>
        <v>0</v>
      </c>
      <c r="B100" s="30" t="s">
        <v>36</v>
      </c>
      <c r="C100" s="37">
        <f>C83</f>
        <v>61</v>
      </c>
      <c r="D100" s="32" t="s">
        <v>93</v>
      </c>
      <c r="E100" s="28">
        <f>E83*C99</f>
        <v>0</v>
      </c>
      <c r="F100" s="32" t="s">
        <v>6</v>
      </c>
      <c r="G100" s="28"/>
      <c r="H100" s="28"/>
      <c r="I100" s="33">
        <f>A100*C100*E100</f>
        <v>0</v>
      </c>
      <c r="K100" s="29">
        <f>R78*R79*0.3</f>
        <v>0</v>
      </c>
      <c r="L100" s="30" t="s">
        <v>36</v>
      </c>
      <c r="M100" s="37">
        <f>M83</f>
        <v>61</v>
      </c>
      <c r="N100" s="32" t="s">
        <v>93</v>
      </c>
      <c r="O100" s="28">
        <f>O83*M99</f>
        <v>0</v>
      </c>
      <c r="P100" s="32" t="s">
        <v>6</v>
      </c>
      <c r="Q100" s="28"/>
      <c r="R100" s="28"/>
      <c r="S100" s="33">
        <f>K100*M100*O100</f>
        <v>0</v>
      </c>
      <c r="U100" s="29">
        <f>AB78*AB79*0.3</f>
        <v>0</v>
      </c>
      <c r="V100" s="30" t="s">
        <v>36</v>
      </c>
      <c r="W100" s="37">
        <f>W83</f>
        <v>61</v>
      </c>
      <c r="X100" s="32" t="s">
        <v>93</v>
      </c>
      <c r="Y100" s="28">
        <f>Y83*W99</f>
        <v>0</v>
      </c>
      <c r="Z100" s="32" t="s">
        <v>6</v>
      </c>
      <c r="AA100" s="28"/>
      <c r="AB100" s="28"/>
      <c r="AC100" s="33">
        <f>U100*W100*Y100</f>
        <v>0</v>
      </c>
      <c r="AE100" s="29">
        <f>AL78*AL79*0.3</f>
        <v>0</v>
      </c>
      <c r="AF100" s="30" t="s">
        <v>36</v>
      </c>
      <c r="AG100" s="37">
        <f>AG83</f>
        <v>61</v>
      </c>
      <c r="AH100" s="32" t="s">
        <v>93</v>
      </c>
      <c r="AI100" s="28">
        <f>AI83*AG99</f>
        <v>0</v>
      </c>
      <c r="AJ100" s="32" t="s">
        <v>6</v>
      </c>
      <c r="AK100" s="28"/>
      <c r="AL100" s="28"/>
      <c r="AM100" s="33">
        <f>AE100*AG100*AI100</f>
        <v>0</v>
      </c>
    </row>
    <row r="101" spans="1:39" ht="11.1" customHeight="1">
      <c r="A101" s="29">
        <f>H78*H79*0.5</f>
        <v>0</v>
      </c>
      <c r="B101" s="30" t="s">
        <v>90</v>
      </c>
      <c r="C101" s="37">
        <f>C84</f>
        <v>75</v>
      </c>
      <c r="D101" s="32" t="s">
        <v>93</v>
      </c>
      <c r="E101" s="28">
        <f>E84*C99</f>
        <v>0</v>
      </c>
      <c r="F101" s="32" t="s">
        <v>6</v>
      </c>
      <c r="G101" s="28"/>
      <c r="H101" s="28"/>
      <c r="I101" s="33">
        <f>A101*C101*E101</f>
        <v>0</v>
      </c>
      <c r="K101" s="29">
        <f>R78*R79*0.5</f>
        <v>0</v>
      </c>
      <c r="L101" s="30" t="s">
        <v>90</v>
      </c>
      <c r="M101" s="37">
        <f>M84</f>
        <v>75</v>
      </c>
      <c r="N101" s="32" t="s">
        <v>93</v>
      </c>
      <c r="O101" s="28">
        <f>O84*M99</f>
        <v>0</v>
      </c>
      <c r="P101" s="32" t="s">
        <v>6</v>
      </c>
      <c r="Q101" s="28"/>
      <c r="R101" s="28"/>
      <c r="S101" s="33">
        <f>K101*M101*O101</f>
        <v>0</v>
      </c>
      <c r="U101" s="29">
        <f>AB78*AB79*0.5</f>
        <v>0</v>
      </c>
      <c r="V101" s="30" t="s">
        <v>90</v>
      </c>
      <c r="W101" s="37">
        <f>W84</f>
        <v>75</v>
      </c>
      <c r="X101" s="32" t="s">
        <v>93</v>
      </c>
      <c r="Y101" s="28">
        <f>Y84*W99</f>
        <v>0</v>
      </c>
      <c r="Z101" s="32" t="s">
        <v>6</v>
      </c>
      <c r="AA101" s="28"/>
      <c r="AB101" s="28"/>
      <c r="AC101" s="33">
        <f>U101*W101*Y101</f>
        <v>0</v>
      </c>
      <c r="AE101" s="29">
        <f>AL78*AL79*0.5</f>
        <v>0</v>
      </c>
      <c r="AF101" s="30" t="s">
        <v>90</v>
      </c>
      <c r="AG101" s="37">
        <f>AG84</f>
        <v>75</v>
      </c>
      <c r="AH101" s="32" t="s">
        <v>93</v>
      </c>
      <c r="AI101" s="28">
        <f>AI84*AG99</f>
        <v>0</v>
      </c>
      <c r="AJ101" s="32" t="s">
        <v>6</v>
      </c>
      <c r="AK101" s="28"/>
      <c r="AL101" s="28"/>
      <c r="AM101" s="33">
        <f>AE101*AG101*AI101</f>
        <v>0</v>
      </c>
    </row>
    <row r="102" spans="1:39" ht="11.1" customHeight="1">
      <c r="A102" s="29">
        <f>H78*H79*0.2</f>
        <v>0</v>
      </c>
      <c r="B102" s="30" t="s">
        <v>91</v>
      </c>
      <c r="C102" s="37">
        <f>C85</f>
        <v>88</v>
      </c>
      <c r="D102" s="32" t="s">
        <v>93</v>
      </c>
      <c r="E102" s="28">
        <f>E85*C99</f>
        <v>0</v>
      </c>
      <c r="F102" s="32" t="s">
        <v>6</v>
      </c>
      <c r="G102" s="28"/>
      <c r="H102" s="28"/>
      <c r="I102" s="33">
        <f>A102*C102*E102</f>
        <v>0</v>
      </c>
      <c r="K102" s="29">
        <f>R78*R79*0.2</f>
        <v>0</v>
      </c>
      <c r="L102" s="30" t="s">
        <v>91</v>
      </c>
      <c r="M102" s="37">
        <f>M85</f>
        <v>88</v>
      </c>
      <c r="N102" s="32" t="s">
        <v>93</v>
      </c>
      <c r="O102" s="28">
        <f>O85*M99</f>
        <v>0</v>
      </c>
      <c r="P102" s="32" t="s">
        <v>6</v>
      </c>
      <c r="Q102" s="28"/>
      <c r="R102" s="28"/>
      <c r="S102" s="33">
        <f>K102*M102*O102</f>
        <v>0</v>
      </c>
      <c r="U102" s="29">
        <f>AB78*AB79*0.2</f>
        <v>0</v>
      </c>
      <c r="V102" s="30" t="s">
        <v>91</v>
      </c>
      <c r="W102" s="37">
        <f>W85</f>
        <v>88</v>
      </c>
      <c r="X102" s="32" t="s">
        <v>93</v>
      </c>
      <c r="Y102" s="28">
        <f>Y85*W99</f>
        <v>0</v>
      </c>
      <c r="Z102" s="32" t="s">
        <v>6</v>
      </c>
      <c r="AA102" s="28"/>
      <c r="AB102" s="28"/>
      <c r="AC102" s="33">
        <f>U102*W102*Y102</f>
        <v>0</v>
      </c>
      <c r="AE102" s="29">
        <f>AL78*AL79*0.2</f>
        <v>0</v>
      </c>
      <c r="AF102" s="30" t="s">
        <v>91</v>
      </c>
      <c r="AG102" s="37">
        <f>AG85</f>
        <v>88</v>
      </c>
      <c r="AH102" s="32" t="s">
        <v>93</v>
      </c>
      <c r="AI102" s="28">
        <f>AI85*AG99</f>
        <v>0</v>
      </c>
      <c r="AJ102" s="32" t="s">
        <v>6</v>
      </c>
      <c r="AK102" s="28"/>
      <c r="AL102" s="28"/>
      <c r="AM102" s="33">
        <f>AE102*AG102*AI102</f>
        <v>0</v>
      </c>
    </row>
    <row r="103" spans="1:39" ht="11.1" customHeight="1">
      <c r="A103" s="41">
        <f>SUM(A83:A102)</f>
        <v>200</v>
      </c>
      <c r="B103" s="34" t="s">
        <v>95</v>
      </c>
      <c r="C103" s="26"/>
      <c r="D103" s="26"/>
      <c r="E103" s="26"/>
      <c r="F103" s="26"/>
      <c r="G103" s="26"/>
      <c r="H103" s="26"/>
      <c r="I103" s="35"/>
      <c r="K103" s="41">
        <f>SUM(K83:K102)</f>
        <v>200</v>
      </c>
      <c r="L103" s="34" t="s">
        <v>95</v>
      </c>
      <c r="M103" s="26"/>
      <c r="N103" s="26"/>
      <c r="O103" s="26"/>
      <c r="P103" s="26"/>
      <c r="Q103" s="26"/>
      <c r="R103" s="26"/>
      <c r="S103" s="35"/>
      <c r="U103" s="41">
        <f>SUM(U83:U102)</f>
        <v>200</v>
      </c>
      <c r="V103" s="34" t="s">
        <v>95</v>
      </c>
      <c r="W103" s="26"/>
      <c r="X103" s="26"/>
      <c r="Y103" s="26"/>
      <c r="Z103" s="26"/>
      <c r="AA103" s="26"/>
      <c r="AB103" s="26"/>
      <c r="AC103" s="35"/>
      <c r="AE103" s="41">
        <f>SUM(AE83:AE102)</f>
        <v>200</v>
      </c>
      <c r="AF103" s="34" t="s">
        <v>95</v>
      </c>
      <c r="AG103" s="26"/>
      <c r="AH103" s="26"/>
      <c r="AI103" s="26"/>
      <c r="AJ103" s="26"/>
      <c r="AK103" s="26"/>
      <c r="AL103" s="26"/>
      <c r="AM103" s="35"/>
    </row>
    <row r="104" spans="1:39" ht="11.1" customHeight="1">
      <c r="A104" s="25" t="s">
        <v>4</v>
      </c>
      <c r="B104" s="26"/>
      <c r="C104" s="26"/>
      <c r="D104" s="26"/>
      <c r="E104" s="26"/>
      <c r="F104" s="26"/>
      <c r="G104" s="26"/>
      <c r="H104" s="26"/>
      <c r="I104" s="42">
        <f>SUM(I83:I102)</f>
        <v>37333164</v>
      </c>
      <c r="K104" s="25" t="s">
        <v>4</v>
      </c>
      <c r="L104" s="26"/>
      <c r="M104" s="26"/>
      <c r="N104" s="26"/>
      <c r="O104" s="26"/>
      <c r="P104" s="26"/>
      <c r="Q104" s="26"/>
      <c r="R104" s="26"/>
      <c r="S104" s="42">
        <f>SUM(S83:S102)</f>
        <v>34890992</v>
      </c>
      <c r="U104" s="25" t="s">
        <v>4</v>
      </c>
      <c r="V104" s="26"/>
      <c r="W104" s="26"/>
      <c r="X104" s="26"/>
      <c r="Y104" s="26"/>
      <c r="Z104" s="26"/>
      <c r="AA104" s="26"/>
      <c r="AB104" s="26"/>
      <c r="AC104" s="42">
        <f>SUM(AC83:AC102)</f>
        <v>32607714</v>
      </c>
      <c r="AE104" s="25" t="s">
        <v>4</v>
      </c>
      <c r="AF104" s="26"/>
      <c r="AG104" s="26"/>
      <c r="AH104" s="26"/>
      <c r="AI104" s="26"/>
      <c r="AJ104" s="26"/>
      <c r="AK104" s="26"/>
      <c r="AL104" s="26"/>
      <c r="AM104" s="42">
        <f>SUM(AM83:AM102)</f>
        <v>32275492</v>
      </c>
    </row>
    <row r="105" ht="11.1" customHeight="1"/>
    <row r="106" spans="1:39" ht="11.1" customHeight="1">
      <c r="A106" s="25" t="s">
        <v>8</v>
      </c>
      <c r="B106" s="26"/>
      <c r="C106" s="26"/>
      <c r="D106" s="26"/>
      <c r="E106" s="26"/>
      <c r="F106" s="26"/>
      <c r="G106" s="26"/>
      <c r="H106" s="26"/>
      <c r="I106" s="40"/>
      <c r="K106" s="25" t="s">
        <v>8</v>
      </c>
      <c r="L106" s="26"/>
      <c r="M106" s="26"/>
      <c r="N106" s="26"/>
      <c r="O106" s="26"/>
      <c r="P106" s="26"/>
      <c r="Q106" s="26"/>
      <c r="R106" s="26"/>
      <c r="S106" s="40"/>
      <c r="U106" s="25" t="s">
        <v>8</v>
      </c>
      <c r="V106" s="26"/>
      <c r="W106" s="26"/>
      <c r="X106" s="26"/>
      <c r="Y106" s="26"/>
      <c r="Z106" s="26"/>
      <c r="AA106" s="26"/>
      <c r="AB106" s="26"/>
      <c r="AC106" s="40"/>
      <c r="AE106" s="25" t="s">
        <v>8</v>
      </c>
      <c r="AF106" s="26"/>
      <c r="AG106" s="26"/>
      <c r="AH106" s="26"/>
      <c r="AI106" s="26"/>
      <c r="AJ106" s="26"/>
      <c r="AK106" s="26"/>
      <c r="AL106" s="26"/>
      <c r="AM106" s="40"/>
    </row>
    <row r="107" spans="1:39" ht="11.1" customHeight="1">
      <c r="A107" s="16" t="s">
        <v>9</v>
      </c>
      <c r="B107" s="30" t="s">
        <v>36</v>
      </c>
      <c r="C107" s="43">
        <f>A83</f>
        <v>0</v>
      </c>
      <c r="D107" s="32" t="s">
        <v>96</v>
      </c>
      <c r="E107" s="18">
        <f>'Land Values'!D$12</f>
        <v>7232.95</v>
      </c>
      <c r="F107" s="32" t="s">
        <v>97</v>
      </c>
      <c r="G107" s="28"/>
      <c r="H107" s="28"/>
      <c r="I107" s="33">
        <f>C107*E107</f>
        <v>0</v>
      </c>
      <c r="K107" s="16" t="s">
        <v>9</v>
      </c>
      <c r="L107" s="30" t="s">
        <v>36</v>
      </c>
      <c r="M107" s="43">
        <f>K83</f>
        <v>0</v>
      </c>
      <c r="N107" s="32" t="s">
        <v>96</v>
      </c>
      <c r="O107" s="18">
        <f>'Land Values'!E$12</f>
        <v>7232.95</v>
      </c>
      <c r="P107" s="32" t="s">
        <v>97</v>
      </c>
      <c r="Q107" s="28"/>
      <c r="R107" s="28"/>
      <c r="S107" s="33">
        <f>M107*O107</f>
        <v>0</v>
      </c>
      <c r="U107" s="16" t="s">
        <v>9</v>
      </c>
      <c r="V107" s="30" t="s">
        <v>36</v>
      </c>
      <c r="W107" s="43">
        <f>U83</f>
        <v>0</v>
      </c>
      <c r="X107" s="32" t="s">
        <v>96</v>
      </c>
      <c r="Y107" s="18">
        <f>'Land Values'!$F$12</f>
        <v>7232.95</v>
      </c>
      <c r="Z107" s="32" t="s">
        <v>97</v>
      </c>
      <c r="AA107" s="28"/>
      <c r="AB107" s="28"/>
      <c r="AC107" s="33">
        <f>W107*Y107</f>
        <v>0</v>
      </c>
      <c r="AE107" s="16" t="s">
        <v>9</v>
      </c>
      <c r="AF107" s="30" t="s">
        <v>36</v>
      </c>
      <c r="AG107" s="43">
        <f>AE83</f>
        <v>0</v>
      </c>
      <c r="AH107" s="32" t="s">
        <v>96</v>
      </c>
      <c r="AI107" s="18">
        <f>'Land Values'!$G$12</f>
        <v>8401.735</v>
      </c>
      <c r="AJ107" s="32" t="s">
        <v>97</v>
      </c>
      <c r="AK107" s="28"/>
      <c r="AL107" s="28"/>
      <c r="AM107" s="33">
        <f>AG107*AI107</f>
        <v>0</v>
      </c>
    </row>
    <row r="108" spans="1:39" ht="11.1" customHeight="1">
      <c r="A108" s="17"/>
      <c r="B108" s="30" t="s">
        <v>98</v>
      </c>
      <c r="C108" s="43">
        <f>A84</f>
        <v>45</v>
      </c>
      <c r="D108" s="32" t="s">
        <v>96</v>
      </c>
      <c r="E108" s="18">
        <f>'Land Values'!D$20</f>
        <v>18082.375</v>
      </c>
      <c r="F108" s="32" t="s">
        <v>97</v>
      </c>
      <c r="G108" s="28"/>
      <c r="H108" s="28"/>
      <c r="I108" s="33">
        <f>C108*E108</f>
        <v>813706.875</v>
      </c>
      <c r="K108" s="17"/>
      <c r="L108" s="30" t="s">
        <v>98</v>
      </c>
      <c r="M108" s="43">
        <f>K84</f>
        <v>40</v>
      </c>
      <c r="N108" s="32" t="s">
        <v>96</v>
      </c>
      <c r="O108" s="18">
        <f>'Land Values'!E$20</f>
        <v>18082.375</v>
      </c>
      <c r="P108" s="32" t="s">
        <v>97</v>
      </c>
      <c r="Q108" s="28"/>
      <c r="R108" s="28"/>
      <c r="S108" s="33">
        <f>M108*O108</f>
        <v>723295</v>
      </c>
      <c r="U108" s="17"/>
      <c r="V108" s="30" t="s">
        <v>98</v>
      </c>
      <c r="W108" s="43">
        <f>U84</f>
        <v>35</v>
      </c>
      <c r="X108" s="32" t="s">
        <v>96</v>
      </c>
      <c r="Y108" s="18">
        <f>'Land Values'!$F$20</f>
        <v>18082.375</v>
      </c>
      <c r="Z108" s="32" t="s">
        <v>97</v>
      </c>
      <c r="AA108" s="28"/>
      <c r="AB108" s="28"/>
      <c r="AC108" s="33">
        <f>W108*Y108</f>
        <v>632883.125</v>
      </c>
      <c r="AE108" s="17"/>
      <c r="AF108" s="30" t="s">
        <v>98</v>
      </c>
      <c r="AG108" s="43">
        <f>AE84</f>
        <v>30</v>
      </c>
      <c r="AH108" s="32" t="s">
        <v>96</v>
      </c>
      <c r="AI108" s="18">
        <f>'Land Values'!$G$20</f>
        <v>21004.3375</v>
      </c>
      <c r="AJ108" s="32" t="s">
        <v>97</v>
      </c>
      <c r="AK108" s="28"/>
      <c r="AL108" s="28"/>
      <c r="AM108" s="33">
        <f>AG108*AI108</f>
        <v>630130.125</v>
      </c>
    </row>
    <row r="109" spans="1:39" ht="11.1" customHeight="1">
      <c r="A109" s="17"/>
      <c r="B109" s="30" t="s">
        <v>91</v>
      </c>
      <c r="C109" s="43">
        <f>A85</f>
        <v>62.999999999999993</v>
      </c>
      <c r="D109" s="32" t="s">
        <v>96</v>
      </c>
      <c r="E109" s="18">
        <f>'Land Values'!D$28</f>
        <v>20665.571428571431</v>
      </c>
      <c r="F109" s="32" t="s">
        <v>97</v>
      </c>
      <c r="G109" s="28"/>
      <c r="H109" s="28"/>
      <c r="I109" s="33">
        <f>C109*E109</f>
        <v>1301931</v>
      </c>
      <c r="K109" s="17"/>
      <c r="L109" s="30" t="s">
        <v>91</v>
      </c>
      <c r="M109" s="43">
        <f>K85</f>
        <v>56</v>
      </c>
      <c r="N109" s="32" t="s">
        <v>96</v>
      </c>
      <c r="O109" s="18">
        <f>'Land Values'!E$28</f>
        <v>20665.571428571431</v>
      </c>
      <c r="P109" s="32" t="s">
        <v>97</v>
      </c>
      <c r="Q109" s="28"/>
      <c r="R109" s="28"/>
      <c r="S109" s="33">
        <f>M109*O109</f>
        <v>1157272.0000000002</v>
      </c>
      <c r="U109" s="17"/>
      <c r="V109" s="30" t="s">
        <v>91</v>
      </c>
      <c r="W109" s="43">
        <f>U85</f>
        <v>49</v>
      </c>
      <c r="X109" s="32" t="s">
        <v>96</v>
      </c>
      <c r="Y109" s="18">
        <f>'Land Values'!$F$28</f>
        <v>20665.571428571431</v>
      </c>
      <c r="Z109" s="32" t="s">
        <v>97</v>
      </c>
      <c r="AA109" s="28"/>
      <c r="AB109" s="28"/>
      <c r="AC109" s="33">
        <f>W109*Y109</f>
        <v>1012613.0000000001</v>
      </c>
      <c r="AE109" s="17"/>
      <c r="AF109" s="30" t="s">
        <v>91</v>
      </c>
      <c r="AG109" s="43">
        <f>AE85</f>
        <v>42</v>
      </c>
      <c r="AH109" s="32" t="s">
        <v>96</v>
      </c>
      <c r="AI109" s="18">
        <f>'Land Values'!$G$28</f>
        <v>24004.95714285714</v>
      </c>
      <c r="AJ109" s="32" t="s">
        <v>97</v>
      </c>
      <c r="AK109" s="28"/>
      <c r="AL109" s="28"/>
      <c r="AM109" s="33">
        <f>AG109*AI109</f>
        <v>1008208.1999999998</v>
      </c>
    </row>
    <row r="110" spans="1:39" ht="11.1" customHeight="1">
      <c r="A110" s="17"/>
      <c r="B110" s="30" t="s">
        <v>99</v>
      </c>
      <c r="C110" s="43">
        <f>A86</f>
        <v>45</v>
      </c>
      <c r="D110" s="32" t="s">
        <v>96</v>
      </c>
      <c r="E110" s="18">
        <f>'Land Values'!D$36</f>
        <v>28931.8</v>
      </c>
      <c r="F110" s="32" t="s">
        <v>97</v>
      </c>
      <c r="G110" s="28"/>
      <c r="H110" s="28"/>
      <c r="I110" s="33">
        <f>C110*E110</f>
        <v>1301931</v>
      </c>
      <c r="K110" s="17"/>
      <c r="L110" s="30" t="s">
        <v>99</v>
      </c>
      <c r="M110" s="43">
        <f>K86</f>
        <v>40</v>
      </c>
      <c r="N110" s="32" t="s">
        <v>96</v>
      </c>
      <c r="O110" s="18">
        <f>'Land Values'!E$36</f>
        <v>28931.8</v>
      </c>
      <c r="P110" s="32" t="s">
        <v>97</v>
      </c>
      <c r="Q110" s="28"/>
      <c r="R110" s="28"/>
      <c r="S110" s="33">
        <f>M110*O110</f>
        <v>1157272</v>
      </c>
      <c r="U110" s="17"/>
      <c r="V110" s="30" t="s">
        <v>99</v>
      </c>
      <c r="W110" s="43">
        <f>U86</f>
        <v>35</v>
      </c>
      <c r="X110" s="32" t="s">
        <v>96</v>
      </c>
      <c r="Y110" s="18">
        <f>'Land Values'!$F$36</f>
        <v>28931.8</v>
      </c>
      <c r="Z110" s="32" t="s">
        <v>97</v>
      </c>
      <c r="AA110" s="28"/>
      <c r="AB110" s="28"/>
      <c r="AC110" s="33">
        <f>W110*Y110</f>
        <v>1012613</v>
      </c>
      <c r="AE110" s="17"/>
      <c r="AF110" s="30" t="s">
        <v>99</v>
      </c>
      <c r="AG110" s="43">
        <f>AE86</f>
        <v>30</v>
      </c>
      <c r="AH110" s="32" t="s">
        <v>96</v>
      </c>
      <c r="AI110" s="18">
        <f>'Land Values'!$G$36</f>
        <v>33606.94</v>
      </c>
      <c r="AJ110" s="32" t="s">
        <v>97</v>
      </c>
      <c r="AK110" s="28"/>
      <c r="AL110" s="28"/>
      <c r="AM110" s="33">
        <f>AG110*AI110</f>
        <v>1008208.2000000001</v>
      </c>
    </row>
    <row r="111" spans="1:39" ht="11.1" customHeight="1">
      <c r="A111" s="4"/>
      <c r="B111" s="30" t="s">
        <v>100</v>
      </c>
      <c r="C111" s="43">
        <f>A87</f>
        <v>27</v>
      </c>
      <c r="D111" s="32" t="s">
        <v>96</v>
      </c>
      <c r="E111" s="18">
        <f>'Land Values'!D$44</f>
        <v>36164.75</v>
      </c>
      <c r="F111" s="32" t="s">
        <v>97</v>
      </c>
      <c r="G111" s="155" t="s">
        <v>126</v>
      </c>
      <c r="H111" s="156">
        <f>SUM(I107:I111)</f>
        <v>4394017.125</v>
      </c>
      <c r="I111" s="33">
        <f>C111*E111</f>
        <v>976448.25</v>
      </c>
      <c r="K111" s="4"/>
      <c r="L111" s="30" t="s">
        <v>100</v>
      </c>
      <c r="M111" s="43">
        <f>K87</f>
        <v>24</v>
      </c>
      <c r="N111" s="32" t="s">
        <v>96</v>
      </c>
      <c r="O111" s="18">
        <f>'Land Values'!E$44</f>
        <v>36164.75</v>
      </c>
      <c r="P111" s="32" t="s">
        <v>97</v>
      </c>
      <c r="Q111" s="155" t="s">
        <v>126</v>
      </c>
      <c r="R111" s="156">
        <f>SUM(S107:S111)</f>
        <v>3905793</v>
      </c>
      <c r="S111" s="33">
        <f>M111*O111</f>
        <v>867954</v>
      </c>
      <c r="U111" s="4"/>
      <c r="V111" s="30" t="s">
        <v>100</v>
      </c>
      <c r="W111" s="43">
        <f>U87</f>
        <v>21</v>
      </c>
      <c r="X111" s="32" t="s">
        <v>96</v>
      </c>
      <c r="Y111" s="18">
        <f>'Land Values'!$F$44</f>
        <v>36164.75</v>
      </c>
      <c r="Z111" s="32" t="s">
        <v>97</v>
      </c>
      <c r="AA111" s="155" t="s">
        <v>126</v>
      </c>
      <c r="AB111" s="156">
        <f>SUM(AC107:AC111)</f>
        <v>3417568.875</v>
      </c>
      <c r="AC111" s="33">
        <f>W111*Y111</f>
        <v>759459.75</v>
      </c>
      <c r="AE111" s="4"/>
      <c r="AF111" s="30" t="s">
        <v>100</v>
      </c>
      <c r="AG111" s="43">
        <f>AE87</f>
        <v>18</v>
      </c>
      <c r="AH111" s="32" t="s">
        <v>96</v>
      </c>
      <c r="AI111" s="18">
        <f>'Land Values'!$G$44</f>
        <v>42008.675</v>
      </c>
      <c r="AJ111" s="32" t="s">
        <v>97</v>
      </c>
      <c r="AK111" s="155" t="s">
        <v>126</v>
      </c>
      <c r="AL111" s="156">
        <f>SUM(AM107:AM111)</f>
        <v>3402702.675</v>
      </c>
      <c r="AM111" s="33">
        <f>AG111*AI111</f>
        <v>756156.15</v>
      </c>
    </row>
    <row r="112" spans="1:39" ht="11.1" customHeight="1">
      <c r="A112" s="17" t="s">
        <v>101</v>
      </c>
      <c r="B112" s="17"/>
      <c r="C112" s="28"/>
      <c r="D112" s="44"/>
      <c r="E112" s="45">
        <f>IF(H111&lt;125000,0%,IF(H111&lt;250000,1%,IF(H111&lt;500000,3%,IF(H111&lt;1000000,4%,IF(H111&gt;1000000,5%)))))</f>
        <v>0.05</v>
      </c>
      <c r="F112" s="32"/>
      <c r="G112" s="28"/>
      <c r="H112" s="28"/>
      <c r="I112" s="33">
        <f>SUM(I107:I111)*E112</f>
        <v>219700.85625</v>
      </c>
      <c r="K112" s="17" t="s">
        <v>101</v>
      </c>
      <c r="L112" s="17"/>
      <c r="M112" s="28"/>
      <c r="N112" s="44"/>
      <c r="O112" s="45">
        <f>IF(R111&lt;125000,0%,IF(R111&lt;250000,1%,IF(R111&lt;500000,3%,IF(R111&lt;1000000,4%,IF(R111&gt;1000000,5%)))))</f>
        <v>0.05</v>
      </c>
      <c r="P112" s="32"/>
      <c r="Q112" s="28"/>
      <c r="R112" s="28"/>
      <c r="S112" s="33">
        <f>SUM(S107:S111)*O112</f>
        <v>195289.65000000002</v>
      </c>
      <c r="U112" s="17" t="s">
        <v>101</v>
      </c>
      <c r="V112" s="17"/>
      <c r="W112" s="28"/>
      <c r="X112" s="44"/>
      <c r="Y112" s="45">
        <f>IF(AB111&lt;125000,0%,IF(AB111&lt;250000,1%,IF(AB111&lt;500000,3%,IF(AB111&lt;1000000,4%,IF(AB111&gt;1000000,5%)))))</f>
        <v>0.05</v>
      </c>
      <c r="Z112" s="32"/>
      <c r="AA112" s="28"/>
      <c r="AB112" s="28"/>
      <c r="AC112" s="33">
        <f>SUM(AC107:AC111)*Y112</f>
        <v>170878.44375</v>
      </c>
      <c r="AE112" s="17" t="s">
        <v>101</v>
      </c>
      <c r="AF112" s="17"/>
      <c r="AG112" s="28"/>
      <c r="AH112" s="44"/>
      <c r="AI112" s="45">
        <f>IF(AL111&lt;125000,0%,IF(AL111&lt;250000,1%,IF(AL111&lt;500000,3%,IF(AL111&lt;1000000,4%,IF(AL111&gt;1000000,5%)))))</f>
        <v>0.05</v>
      </c>
      <c r="AJ112" s="32"/>
      <c r="AK112" s="28"/>
      <c r="AL112" s="28"/>
      <c r="AM112" s="33">
        <f>SUM(AM107:AM111)*AI112</f>
        <v>170135.13375</v>
      </c>
    </row>
    <row r="113" spans="1:39" ht="11.1" customHeight="1">
      <c r="A113" s="25" t="s">
        <v>10</v>
      </c>
      <c r="B113" s="26"/>
      <c r="C113" s="26"/>
      <c r="D113" s="34"/>
      <c r="E113" s="26"/>
      <c r="F113" s="34"/>
      <c r="G113" s="26"/>
      <c r="H113" s="26"/>
      <c r="I113" s="40"/>
      <c r="K113" s="25" t="s">
        <v>10</v>
      </c>
      <c r="L113" s="26"/>
      <c r="M113" s="26"/>
      <c r="N113" s="34"/>
      <c r="O113" s="26"/>
      <c r="P113" s="34"/>
      <c r="Q113" s="26"/>
      <c r="R113" s="26"/>
      <c r="S113" s="40"/>
      <c r="U113" s="25" t="s">
        <v>10</v>
      </c>
      <c r="V113" s="26"/>
      <c r="W113" s="26"/>
      <c r="X113" s="34"/>
      <c r="Y113" s="26"/>
      <c r="Z113" s="34"/>
      <c r="AA113" s="26"/>
      <c r="AB113" s="26"/>
      <c r="AC113" s="40"/>
      <c r="AE113" s="25" t="s">
        <v>10</v>
      </c>
      <c r="AF113" s="26"/>
      <c r="AG113" s="26"/>
      <c r="AH113" s="34"/>
      <c r="AI113" s="26"/>
      <c r="AJ113" s="34"/>
      <c r="AK113" s="26"/>
      <c r="AL113" s="26"/>
      <c r="AM113" s="40"/>
    </row>
    <row r="114" spans="1:39" ht="11.1" customHeight="1">
      <c r="A114" s="29">
        <f>A83+A90+A95+A100</f>
        <v>0</v>
      </c>
      <c r="B114" s="30" t="s">
        <v>36</v>
      </c>
      <c r="C114" s="28"/>
      <c r="D114" s="32"/>
      <c r="E114" s="18">
        <f>Assumptions!$G$22</f>
        <v>1096</v>
      </c>
      <c r="F114" s="32" t="s">
        <v>6</v>
      </c>
      <c r="G114" s="46">
        <f>Assumptions!$D$22</f>
        <v>1.15</v>
      </c>
      <c r="H114" s="32" t="s">
        <v>11</v>
      </c>
      <c r="I114" s="33">
        <f>(A83*C83*E114*G114)+(A90*C90*E114*G114)</f>
        <v>0</v>
      </c>
      <c r="K114" s="29">
        <f>K83+K90+K95+K100</f>
        <v>0</v>
      </c>
      <c r="L114" s="30" t="s">
        <v>36</v>
      </c>
      <c r="M114" s="28"/>
      <c r="N114" s="32"/>
      <c r="O114" s="18">
        <f>Assumptions!$G$22</f>
        <v>1096</v>
      </c>
      <c r="P114" s="32" t="s">
        <v>6</v>
      </c>
      <c r="Q114" s="46">
        <f>Assumptions!$D$22</f>
        <v>1.15</v>
      </c>
      <c r="R114" s="32" t="s">
        <v>11</v>
      </c>
      <c r="S114" s="33">
        <f>(K83*M83*O114*Q114)+(K90*M90*O114*Q114)</f>
        <v>0</v>
      </c>
      <c r="U114" s="29">
        <f>U83+U90+U95+U100</f>
        <v>0</v>
      </c>
      <c r="V114" s="30" t="s">
        <v>36</v>
      </c>
      <c r="W114" s="28"/>
      <c r="X114" s="32"/>
      <c r="Y114" s="18">
        <f>Assumptions!$G$22</f>
        <v>1096</v>
      </c>
      <c r="Z114" s="32" t="s">
        <v>6</v>
      </c>
      <c r="AA114" s="46">
        <f>Assumptions!$D$22</f>
        <v>1.15</v>
      </c>
      <c r="AB114" s="32" t="s">
        <v>11</v>
      </c>
      <c r="AC114" s="33">
        <f>(U83*W83*Y114*AA114)+(U90*W90*Y114*AA114)</f>
        <v>0</v>
      </c>
      <c r="AE114" s="29">
        <f>AE83+AE90+AE95+AE100</f>
        <v>0</v>
      </c>
      <c r="AF114" s="30" t="s">
        <v>36</v>
      </c>
      <c r="AG114" s="28"/>
      <c r="AH114" s="32"/>
      <c r="AI114" s="18">
        <f>Assumptions!$G$22</f>
        <v>1096</v>
      </c>
      <c r="AJ114" s="32" t="s">
        <v>6</v>
      </c>
      <c r="AK114" s="46">
        <f>Assumptions!$D$22</f>
        <v>1.15</v>
      </c>
      <c r="AL114" s="32" t="s">
        <v>11</v>
      </c>
      <c r="AM114" s="33">
        <f>(AE83*AG83*AI114*AK114)+(AE90*AG90*AI114*AK114)</f>
        <v>0</v>
      </c>
    </row>
    <row r="115" spans="1:39" ht="11.1" customHeight="1">
      <c r="A115" s="29">
        <f>A84+A91+A96+A101</f>
        <v>59</v>
      </c>
      <c r="B115" s="30" t="s">
        <v>102</v>
      </c>
      <c r="C115" s="28"/>
      <c r="D115" s="32"/>
      <c r="E115" s="18">
        <f>Assumptions!$G$23</f>
        <v>899</v>
      </c>
      <c r="F115" s="32" t="s">
        <v>6</v>
      </c>
      <c r="G115" s="28"/>
      <c r="H115" s="28"/>
      <c r="I115" s="33">
        <f>(A84*C84*E115)+(A91*C91*E115)</f>
        <v>4078763</v>
      </c>
      <c r="K115" s="29">
        <f>K84+K91+K96+K101</f>
        <v>68</v>
      </c>
      <c r="L115" s="30" t="s">
        <v>102</v>
      </c>
      <c r="M115" s="28"/>
      <c r="N115" s="32"/>
      <c r="O115" s="18">
        <f>Assumptions!$G$23</f>
        <v>899</v>
      </c>
      <c r="P115" s="32" t="s">
        <v>6</v>
      </c>
      <c r="Q115" s="28"/>
      <c r="R115" s="28"/>
      <c r="S115" s="33">
        <f>(K84*M84*O115)+(K91*M91*O115)</f>
        <v>4786276</v>
      </c>
      <c r="U115" s="29">
        <f>U84+U91+U96+U101</f>
        <v>77</v>
      </c>
      <c r="V115" s="30" t="s">
        <v>102</v>
      </c>
      <c r="W115" s="28"/>
      <c r="X115" s="32"/>
      <c r="Y115" s="18">
        <f>Assumptions!$G$23</f>
        <v>899</v>
      </c>
      <c r="Z115" s="32" t="s">
        <v>6</v>
      </c>
      <c r="AA115" s="28"/>
      <c r="AB115" s="28"/>
      <c r="AC115" s="33">
        <f>(U84*W84*Y115)+(U91*W91*Y115)</f>
        <v>5493789</v>
      </c>
      <c r="AE115" s="29">
        <f>AE84+AE91+AE96+AE101</f>
        <v>86</v>
      </c>
      <c r="AF115" s="30" t="s">
        <v>102</v>
      </c>
      <c r="AG115" s="28"/>
      <c r="AH115" s="32"/>
      <c r="AI115" s="18">
        <f>Assumptions!$G$23</f>
        <v>899</v>
      </c>
      <c r="AJ115" s="32" t="s">
        <v>6</v>
      </c>
      <c r="AK115" s="28"/>
      <c r="AL115" s="28"/>
      <c r="AM115" s="33">
        <f>(AE84*AG84*AI115)+(AE91*AG91*AI115)</f>
        <v>6201302</v>
      </c>
    </row>
    <row r="116" spans="1:39" ht="11.1" customHeight="1">
      <c r="A116" s="29">
        <f>A85+A92+A97+A102</f>
        <v>69</v>
      </c>
      <c r="B116" s="30" t="s">
        <v>103</v>
      </c>
      <c r="C116" s="28"/>
      <c r="D116" s="32"/>
      <c r="E116" s="18">
        <f>Assumptions!$G$24</f>
        <v>899</v>
      </c>
      <c r="F116" s="32" t="s">
        <v>6</v>
      </c>
      <c r="G116" s="28"/>
      <c r="H116" s="28"/>
      <c r="I116" s="33">
        <f>(A85*C85*E116)+(A92*C92*E116)</f>
        <v>5491091.9999999991</v>
      </c>
      <c r="K116" s="29">
        <f>K85+K92+K97+K102</f>
        <v>68</v>
      </c>
      <c r="L116" s="30" t="s">
        <v>103</v>
      </c>
      <c r="M116" s="28"/>
      <c r="N116" s="32"/>
      <c r="O116" s="18">
        <f>Assumptions!$G$24</f>
        <v>899</v>
      </c>
      <c r="P116" s="32" t="s">
        <v>6</v>
      </c>
      <c r="Q116" s="28"/>
      <c r="R116" s="28"/>
      <c r="S116" s="33">
        <f>(K85*M85*O116)+(K92*M92*O116)</f>
        <v>5444344</v>
      </c>
      <c r="U116" s="29">
        <f>U85+U92+U97+U102</f>
        <v>67</v>
      </c>
      <c r="V116" s="30" t="s">
        <v>103</v>
      </c>
      <c r="W116" s="28"/>
      <c r="X116" s="32"/>
      <c r="Y116" s="18">
        <f>Assumptions!$G$24</f>
        <v>899</v>
      </c>
      <c r="Z116" s="32" t="s">
        <v>6</v>
      </c>
      <c r="AA116" s="28"/>
      <c r="AB116" s="28"/>
      <c r="AC116" s="33">
        <f>(U85*W85*Y116)+(U92*W92*Y116)</f>
        <v>5397596</v>
      </c>
      <c r="AE116" s="29">
        <f>AE85+AE92+AE97+AE102</f>
        <v>66</v>
      </c>
      <c r="AF116" s="30" t="s">
        <v>103</v>
      </c>
      <c r="AG116" s="28"/>
      <c r="AH116" s="32"/>
      <c r="AI116" s="18">
        <f>Assumptions!$G$24</f>
        <v>899</v>
      </c>
      <c r="AJ116" s="32" t="s">
        <v>6</v>
      </c>
      <c r="AK116" s="28"/>
      <c r="AL116" s="28"/>
      <c r="AM116" s="33">
        <f>(AE85*AG85*AI116)+(AE92*AG92*AI116)</f>
        <v>5350848</v>
      </c>
    </row>
    <row r="117" spans="1:39" ht="11.1" customHeight="1">
      <c r="A117" s="29">
        <f>A86</f>
        <v>45</v>
      </c>
      <c r="B117" s="30" t="s">
        <v>104</v>
      </c>
      <c r="C117" s="28"/>
      <c r="D117" s="32"/>
      <c r="E117" s="18">
        <f>Assumptions!$G$25</f>
        <v>899</v>
      </c>
      <c r="F117" s="32" t="s">
        <v>6</v>
      </c>
      <c r="G117" s="28"/>
      <c r="H117" s="28"/>
      <c r="I117" s="33">
        <f>(A86*C86*E117)</f>
        <v>4854600</v>
      </c>
      <c r="K117" s="29">
        <f>K86</f>
        <v>40</v>
      </c>
      <c r="L117" s="30" t="s">
        <v>104</v>
      </c>
      <c r="M117" s="28"/>
      <c r="N117" s="32"/>
      <c r="O117" s="18">
        <f>Assumptions!$G$25</f>
        <v>899</v>
      </c>
      <c r="P117" s="32" t="s">
        <v>6</v>
      </c>
      <c r="Q117" s="28"/>
      <c r="R117" s="28"/>
      <c r="S117" s="33">
        <f>(K86*M86*O117)</f>
        <v>4315200</v>
      </c>
      <c r="U117" s="29">
        <f>U86</f>
        <v>35</v>
      </c>
      <c r="V117" s="30" t="s">
        <v>104</v>
      </c>
      <c r="W117" s="28"/>
      <c r="X117" s="32"/>
      <c r="Y117" s="18">
        <f>Assumptions!$G$25</f>
        <v>899</v>
      </c>
      <c r="Z117" s="32" t="s">
        <v>6</v>
      </c>
      <c r="AA117" s="28"/>
      <c r="AB117" s="28"/>
      <c r="AC117" s="33">
        <f>(U86*W86*Y117)</f>
        <v>3775800</v>
      </c>
      <c r="AE117" s="29">
        <f>AE86</f>
        <v>30</v>
      </c>
      <c r="AF117" s="30" t="s">
        <v>104</v>
      </c>
      <c r="AG117" s="28"/>
      <c r="AH117" s="32"/>
      <c r="AI117" s="18">
        <f>Assumptions!$G$25</f>
        <v>899</v>
      </c>
      <c r="AJ117" s="32" t="s">
        <v>6</v>
      </c>
      <c r="AK117" s="28"/>
      <c r="AL117" s="28"/>
      <c r="AM117" s="33">
        <f>(AE86*AG86*AI117)</f>
        <v>3236400</v>
      </c>
    </row>
    <row r="118" spans="1:39" ht="11.1" customHeight="1">
      <c r="A118" s="29">
        <f>A87</f>
        <v>27</v>
      </c>
      <c r="B118" s="30" t="s">
        <v>105</v>
      </c>
      <c r="C118" s="28"/>
      <c r="D118" s="32"/>
      <c r="E118" s="18">
        <f>Assumptions!$G$26</f>
        <v>899</v>
      </c>
      <c r="F118" s="32" t="s">
        <v>6</v>
      </c>
      <c r="G118" s="28"/>
      <c r="H118" s="28"/>
      <c r="I118" s="33">
        <f>(A87*C87*E118)</f>
        <v>3640950</v>
      </c>
      <c r="K118" s="29">
        <f>K87</f>
        <v>24</v>
      </c>
      <c r="L118" s="30" t="s">
        <v>105</v>
      </c>
      <c r="M118" s="28"/>
      <c r="N118" s="32"/>
      <c r="O118" s="18">
        <f>Assumptions!$G$26</f>
        <v>899</v>
      </c>
      <c r="P118" s="32" t="s">
        <v>6</v>
      </c>
      <c r="Q118" s="28"/>
      <c r="R118" s="28"/>
      <c r="S118" s="33">
        <f>(K87*M87*O118)</f>
        <v>3236400</v>
      </c>
      <c r="U118" s="29">
        <f>U87</f>
        <v>21</v>
      </c>
      <c r="V118" s="30" t="s">
        <v>105</v>
      </c>
      <c r="W118" s="28"/>
      <c r="X118" s="32"/>
      <c r="Y118" s="18">
        <f>Assumptions!$G$26</f>
        <v>899</v>
      </c>
      <c r="Z118" s="32" t="s">
        <v>6</v>
      </c>
      <c r="AA118" s="28"/>
      <c r="AB118" s="28"/>
      <c r="AC118" s="33">
        <f>(U87*W87*Y118)</f>
        <v>2831850</v>
      </c>
      <c r="AE118" s="29">
        <f>AE87</f>
        <v>18</v>
      </c>
      <c r="AF118" s="30" t="s">
        <v>105</v>
      </c>
      <c r="AG118" s="28"/>
      <c r="AH118" s="32"/>
      <c r="AI118" s="18">
        <f>Assumptions!$G$26</f>
        <v>899</v>
      </c>
      <c r="AJ118" s="32" t="s">
        <v>6</v>
      </c>
      <c r="AK118" s="28"/>
      <c r="AL118" s="28"/>
      <c r="AM118" s="33">
        <f>(AE87*AG87*AI118)</f>
        <v>2427300</v>
      </c>
    </row>
    <row r="119" spans="1:39" ht="11.1" customHeight="1">
      <c r="A119" s="38">
        <f>SUM(A114:A118)</f>
        <v>200</v>
      </c>
      <c r="B119" s="26"/>
      <c r="C119" s="47">
        <f>SUM(A114*C114*G114)+(A115*C115)+(A116*C116)+(A117*C117)+(A118*C118)</f>
        <v>0</v>
      </c>
      <c r="D119" s="34" t="s">
        <v>106</v>
      </c>
      <c r="E119" s="26"/>
      <c r="F119" s="34"/>
      <c r="G119" s="26"/>
      <c r="H119" s="26"/>
      <c r="I119" s="40"/>
      <c r="K119" s="38">
        <f>SUM(K114:K118)</f>
        <v>200</v>
      </c>
      <c r="L119" s="26"/>
      <c r="M119" s="47">
        <f>SUM(K114*M114*Q114)+(K115*M115)+(K116*M116)+(K117*M117)+(K118*M118)</f>
        <v>0</v>
      </c>
      <c r="N119" s="34" t="s">
        <v>106</v>
      </c>
      <c r="O119" s="26"/>
      <c r="P119" s="34"/>
      <c r="Q119" s="26"/>
      <c r="R119" s="26"/>
      <c r="S119" s="40"/>
      <c r="U119" s="38">
        <f>SUM(U114:U118)</f>
        <v>200</v>
      </c>
      <c r="V119" s="26"/>
      <c r="W119" s="47">
        <f>SUM(U114*W114*AA114)+(U115*W115)+(U116*W116)+(U117*W117)+(U118*W118)</f>
        <v>0</v>
      </c>
      <c r="X119" s="34" t="s">
        <v>106</v>
      </c>
      <c r="Y119" s="26"/>
      <c r="Z119" s="34"/>
      <c r="AA119" s="26"/>
      <c r="AB119" s="26"/>
      <c r="AC119" s="40"/>
      <c r="AE119" s="38">
        <f>SUM(AE114:AE118)</f>
        <v>200</v>
      </c>
      <c r="AF119" s="26"/>
      <c r="AG119" s="47">
        <f>SUM(AE114*AG114*AK114)+(AE115*AG115)+(AE116*AG116)+(AE117*AG117)+(AE118*AG118)</f>
        <v>0</v>
      </c>
      <c r="AH119" s="34" t="s">
        <v>106</v>
      </c>
      <c r="AI119" s="26"/>
      <c r="AJ119" s="34"/>
      <c r="AK119" s="26"/>
      <c r="AL119" s="26"/>
      <c r="AM119" s="40"/>
    </row>
    <row r="120" spans="1:39" ht="11.1" customHeight="1">
      <c r="A120" s="17" t="s">
        <v>137</v>
      </c>
      <c r="B120" s="4"/>
      <c r="E120" s="71">
        <f>IF(E108&lt;25000,0,IF(E108&gt;25000,(E108*Assumptions!$D$211)))</f>
        <v>0</v>
      </c>
      <c r="F120" s="48" t="s">
        <v>138</v>
      </c>
      <c r="I120" s="33">
        <f>H78*E120</f>
        <v>0</v>
      </c>
      <c r="K120" s="17" t="s">
        <v>137</v>
      </c>
      <c r="L120" s="4"/>
      <c r="O120" s="71">
        <f>IF(O108&lt;25000,0,IF(O108&gt;25000,(O108*Assumptions!$D$211)))</f>
        <v>0</v>
      </c>
      <c r="P120" s="48" t="s">
        <v>138</v>
      </c>
      <c r="S120" s="33">
        <f>R78*O120</f>
        <v>0</v>
      </c>
      <c r="U120" s="17" t="s">
        <v>137</v>
      </c>
      <c r="V120" s="4"/>
      <c r="Y120" s="71">
        <f>IF(Y108&lt;25000,0,IF(Y108&gt;25000,(Y108*Assumptions!$D$211)))</f>
        <v>0</v>
      </c>
      <c r="Z120" s="48" t="s">
        <v>138</v>
      </c>
      <c r="AC120" s="33">
        <f>AB78*Y120</f>
        <v>0</v>
      </c>
      <c r="AE120" s="17" t="s">
        <v>137</v>
      </c>
      <c r="AF120" s="4"/>
      <c r="AI120" s="71">
        <f>IF(AI108&lt;25000,0,IF(AI108&gt;25000,(AI108*Assumptions!$D$211)))</f>
        <v>0</v>
      </c>
      <c r="AJ120" s="48" t="s">
        <v>138</v>
      </c>
      <c r="AM120" s="33">
        <f>AL78*AI120</f>
        <v>0</v>
      </c>
    </row>
    <row r="121" spans="1:39" ht="11.1" customHeight="1">
      <c r="A121" s="17" t="s">
        <v>119</v>
      </c>
      <c r="B121" s="17"/>
      <c r="C121" s="49"/>
      <c r="D121" s="28"/>
      <c r="E121" s="88">
        <f>Assumptions!$E$44</f>
        <v>0.08</v>
      </c>
      <c r="F121" s="32" t="s">
        <v>14</v>
      </c>
      <c r="G121" s="28"/>
      <c r="H121" s="28"/>
      <c r="I121" s="33">
        <f>SUM(I114:I118)*E121</f>
        <v>1445232.4000000001</v>
      </c>
      <c r="K121" s="17" t="s">
        <v>119</v>
      </c>
      <c r="L121" s="17"/>
      <c r="M121" s="49"/>
      <c r="N121" s="28"/>
      <c r="O121" s="88">
        <f>Assumptions!$E$44</f>
        <v>0.08</v>
      </c>
      <c r="P121" s="32" t="s">
        <v>14</v>
      </c>
      <c r="Q121" s="28"/>
      <c r="R121" s="28"/>
      <c r="S121" s="33">
        <f>SUM(S114:S118)*O121</f>
        <v>1422577.6</v>
      </c>
      <c r="U121" s="17" t="s">
        <v>119</v>
      </c>
      <c r="V121" s="17"/>
      <c r="W121" s="49"/>
      <c r="X121" s="28"/>
      <c r="Y121" s="88">
        <f>Assumptions!$E$44</f>
        <v>0.08</v>
      </c>
      <c r="Z121" s="32" t="s">
        <v>14</v>
      </c>
      <c r="AA121" s="28"/>
      <c r="AB121" s="28"/>
      <c r="AC121" s="33">
        <f>SUM(AC114:AC118)*Y121</f>
        <v>1399922.8</v>
      </c>
      <c r="AE121" s="17" t="s">
        <v>119</v>
      </c>
      <c r="AF121" s="17"/>
      <c r="AG121" s="49"/>
      <c r="AH121" s="28"/>
      <c r="AI121" s="88">
        <f>Assumptions!$E$44</f>
        <v>0.08</v>
      </c>
      <c r="AJ121" s="32" t="s">
        <v>14</v>
      </c>
      <c r="AK121" s="28"/>
      <c r="AL121" s="28"/>
      <c r="AM121" s="33">
        <f>SUM(AM114:AM118)*AI121</f>
        <v>1377268</v>
      </c>
    </row>
    <row r="122" spans="1:39" ht="11.1" customHeight="1">
      <c r="A122" s="17" t="s">
        <v>15</v>
      </c>
      <c r="B122" s="17"/>
      <c r="C122" s="49"/>
      <c r="D122" s="28"/>
      <c r="E122" s="88">
        <f>Assumptions!$E$45</f>
        <v>0.005</v>
      </c>
      <c r="F122" s="32" t="s">
        <v>16</v>
      </c>
      <c r="G122" s="28"/>
      <c r="H122" s="28"/>
      <c r="I122" s="33">
        <f>I104*E122</f>
        <v>186665.82</v>
      </c>
      <c r="K122" s="17" t="s">
        <v>15</v>
      </c>
      <c r="L122" s="17"/>
      <c r="M122" s="49"/>
      <c r="N122" s="28"/>
      <c r="O122" s="88">
        <f>Assumptions!$E$45</f>
        <v>0.005</v>
      </c>
      <c r="P122" s="32" t="s">
        <v>16</v>
      </c>
      <c r="Q122" s="28"/>
      <c r="R122" s="28"/>
      <c r="S122" s="33">
        <f>S104*O122</f>
        <v>174454.96</v>
      </c>
      <c r="U122" s="17" t="s">
        <v>15</v>
      </c>
      <c r="V122" s="17"/>
      <c r="W122" s="49"/>
      <c r="X122" s="28"/>
      <c r="Y122" s="88">
        <f>Assumptions!$E$45</f>
        <v>0.005</v>
      </c>
      <c r="Z122" s="32" t="s">
        <v>16</v>
      </c>
      <c r="AA122" s="28"/>
      <c r="AB122" s="28"/>
      <c r="AC122" s="33">
        <f>AC104*Y122</f>
        <v>163038.57</v>
      </c>
      <c r="AE122" s="17" t="s">
        <v>15</v>
      </c>
      <c r="AF122" s="17"/>
      <c r="AG122" s="49"/>
      <c r="AH122" s="28"/>
      <c r="AI122" s="88">
        <f>Assumptions!$E$45</f>
        <v>0.005</v>
      </c>
      <c r="AJ122" s="32" t="s">
        <v>16</v>
      </c>
      <c r="AK122" s="28"/>
      <c r="AL122" s="28"/>
      <c r="AM122" s="33">
        <f>AM104*AI122</f>
        <v>161377.46</v>
      </c>
    </row>
    <row r="123" spans="1:39" ht="11.1" customHeight="1">
      <c r="A123" s="17" t="s">
        <v>17</v>
      </c>
      <c r="B123" s="17"/>
      <c r="C123" s="49"/>
      <c r="D123" s="28"/>
      <c r="E123" s="88">
        <f>Assumptions!$E$46</f>
        <v>0.011</v>
      </c>
      <c r="F123" s="32" t="s">
        <v>14</v>
      </c>
      <c r="G123" s="28"/>
      <c r="H123" s="28"/>
      <c r="I123" s="33">
        <f>SUM(I114:I118)*E123</f>
        <v>198719.455</v>
      </c>
      <c r="K123" s="17" t="s">
        <v>17</v>
      </c>
      <c r="L123" s="17"/>
      <c r="M123" s="49"/>
      <c r="N123" s="28"/>
      <c r="O123" s="88">
        <f>Assumptions!$E$46</f>
        <v>0.011</v>
      </c>
      <c r="P123" s="32" t="s">
        <v>14</v>
      </c>
      <c r="Q123" s="28"/>
      <c r="R123" s="28"/>
      <c r="S123" s="33">
        <f>SUM(S114:S118)*O123</f>
        <v>195604.41999999998</v>
      </c>
      <c r="U123" s="17" t="s">
        <v>17</v>
      </c>
      <c r="V123" s="17"/>
      <c r="W123" s="49"/>
      <c r="X123" s="28"/>
      <c r="Y123" s="88">
        <f>Assumptions!$E$46</f>
        <v>0.011</v>
      </c>
      <c r="Z123" s="32" t="s">
        <v>14</v>
      </c>
      <c r="AA123" s="28"/>
      <c r="AB123" s="28"/>
      <c r="AC123" s="33">
        <f>SUM(AC114:AC118)*Y123</f>
        <v>192489.38499999998</v>
      </c>
      <c r="AE123" s="17" t="s">
        <v>17</v>
      </c>
      <c r="AF123" s="17"/>
      <c r="AG123" s="49"/>
      <c r="AH123" s="28"/>
      <c r="AI123" s="88">
        <f>Assumptions!$E$46</f>
        <v>0.011</v>
      </c>
      <c r="AJ123" s="32" t="s">
        <v>14</v>
      </c>
      <c r="AK123" s="28"/>
      <c r="AL123" s="28"/>
      <c r="AM123" s="33">
        <f>SUM(AM114:AM118)*AI123</f>
        <v>189374.34999999998</v>
      </c>
    </row>
    <row r="124" spans="1:39" ht="11.1" customHeight="1">
      <c r="A124" s="17" t="s">
        <v>18</v>
      </c>
      <c r="B124" s="17"/>
      <c r="C124" s="49"/>
      <c r="D124" s="28"/>
      <c r="E124" s="88">
        <f>Assumptions!$E$47</f>
        <v>0.02</v>
      </c>
      <c r="F124" s="32" t="s">
        <v>50</v>
      </c>
      <c r="G124" s="28"/>
      <c r="H124" s="28"/>
      <c r="I124" s="33">
        <f>SUM(I83:I87)*E124</f>
        <v>716391</v>
      </c>
      <c r="K124" s="17" t="s">
        <v>18</v>
      </c>
      <c r="L124" s="17"/>
      <c r="M124" s="49"/>
      <c r="N124" s="28"/>
      <c r="O124" s="88">
        <f>Assumptions!$E$47</f>
        <v>0.02</v>
      </c>
      <c r="P124" s="32" t="s">
        <v>50</v>
      </c>
      <c r="Q124" s="28"/>
      <c r="R124" s="28"/>
      <c r="S124" s="33">
        <f>SUM(S83:S87)*O124</f>
        <v>636792</v>
      </c>
      <c r="U124" s="17" t="s">
        <v>18</v>
      </c>
      <c r="V124" s="17"/>
      <c r="W124" s="49"/>
      <c r="X124" s="28"/>
      <c r="Y124" s="88">
        <f>Assumptions!$E$47</f>
        <v>0.02</v>
      </c>
      <c r="Z124" s="32" t="s">
        <v>50</v>
      </c>
      <c r="AA124" s="28"/>
      <c r="AB124" s="28"/>
      <c r="AC124" s="33">
        <f>SUM(AC83:AC87)*Y124</f>
        <v>557193</v>
      </c>
      <c r="AE124" s="17" t="s">
        <v>18</v>
      </c>
      <c r="AF124" s="17"/>
      <c r="AG124" s="49"/>
      <c r="AH124" s="28"/>
      <c r="AI124" s="88">
        <f>Assumptions!$E$47</f>
        <v>0.02</v>
      </c>
      <c r="AJ124" s="32" t="s">
        <v>50</v>
      </c>
      <c r="AK124" s="28"/>
      <c r="AL124" s="28"/>
      <c r="AM124" s="33">
        <f>SUM(AM83:AM87)*AI124</f>
        <v>502086</v>
      </c>
    </row>
    <row r="125" spans="1:39" ht="11.1" customHeight="1">
      <c r="A125" s="17" t="s">
        <v>19</v>
      </c>
      <c r="B125" s="17"/>
      <c r="C125" s="50"/>
      <c r="D125" s="28"/>
      <c r="E125" s="88">
        <f>Assumptions!$E$48</f>
        <v>0.05</v>
      </c>
      <c r="F125" s="32" t="s">
        <v>14</v>
      </c>
      <c r="G125" s="28"/>
      <c r="H125" s="28"/>
      <c r="I125" s="33">
        <f>SUM(I114:I120)*E125</f>
        <v>903270.25</v>
      </c>
      <c r="K125" s="17" t="s">
        <v>19</v>
      </c>
      <c r="L125" s="17"/>
      <c r="M125" s="50"/>
      <c r="N125" s="28"/>
      <c r="O125" s="88">
        <f>Assumptions!$E$48</f>
        <v>0.05</v>
      </c>
      <c r="P125" s="32" t="s">
        <v>14</v>
      </c>
      <c r="Q125" s="28"/>
      <c r="R125" s="28"/>
      <c r="S125" s="33">
        <f>SUM(S114:S120)*O125</f>
        <v>889111</v>
      </c>
      <c r="U125" s="17" t="s">
        <v>19</v>
      </c>
      <c r="V125" s="17"/>
      <c r="W125" s="50"/>
      <c r="X125" s="28"/>
      <c r="Y125" s="88">
        <f>Assumptions!$E$48</f>
        <v>0.05</v>
      </c>
      <c r="Z125" s="32" t="s">
        <v>14</v>
      </c>
      <c r="AA125" s="28"/>
      <c r="AB125" s="28"/>
      <c r="AC125" s="33">
        <f>SUM(AC114:AC120)*Y125</f>
        <v>874951.75</v>
      </c>
      <c r="AE125" s="17" t="s">
        <v>19</v>
      </c>
      <c r="AF125" s="17"/>
      <c r="AG125" s="50"/>
      <c r="AH125" s="28"/>
      <c r="AI125" s="88">
        <f>Assumptions!$E$48</f>
        <v>0.05</v>
      </c>
      <c r="AJ125" s="32" t="s">
        <v>14</v>
      </c>
      <c r="AK125" s="28"/>
      <c r="AL125" s="28"/>
      <c r="AM125" s="33">
        <f>SUM(AM114:AM120)*AI125</f>
        <v>860792.5</v>
      </c>
    </row>
    <row r="126" spans="1:39" ht="11.1" customHeight="1">
      <c r="A126" s="17" t="s">
        <v>20</v>
      </c>
      <c r="B126" s="4"/>
      <c r="C126" s="13"/>
      <c r="E126" s="89">
        <f>Assumptions!$E$49</f>
        <v>4000</v>
      </c>
      <c r="F126" s="32" t="s">
        <v>51</v>
      </c>
      <c r="I126" s="36">
        <f>A103*E126</f>
        <v>800000</v>
      </c>
      <c r="K126" s="17" t="s">
        <v>20</v>
      </c>
      <c r="L126" s="4"/>
      <c r="M126" s="13"/>
      <c r="O126" s="89">
        <f>Assumptions!$E$49</f>
        <v>4000</v>
      </c>
      <c r="P126" s="32" t="s">
        <v>51</v>
      </c>
      <c r="S126" s="36">
        <f>K103*O126</f>
        <v>800000</v>
      </c>
      <c r="U126" s="17" t="s">
        <v>20</v>
      </c>
      <c r="V126" s="4"/>
      <c r="W126" s="13"/>
      <c r="Y126" s="89">
        <f>Assumptions!$E$49</f>
        <v>4000</v>
      </c>
      <c r="Z126" s="32" t="s">
        <v>51</v>
      </c>
      <c r="AC126" s="36">
        <f>U103*Y126</f>
        <v>800000</v>
      </c>
      <c r="AE126" s="17" t="s">
        <v>20</v>
      </c>
      <c r="AF126" s="4"/>
      <c r="AG126" s="13"/>
      <c r="AI126" s="89">
        <f>Assumptions!$E$49</f>
        <v>4000</v>
      </c>
      <c r="AJ126" s="32" t="s">
        <v>51</v>
      </c>
      <c r="AM126" s="36">
        <f>AE103*AI126</f>
        <v>800000</v>
      </c>
    </row>
    <row r="127" spans="1:39" ht="11.1" customHeight="1">
      <c r="A127" s="17" t="s">
        <v>120</v>
      </c>
      <c r="B127" s="17"/>
      <c r="C127" s="45">
        <f>Assumptions!$C$50</f>
        <v>0.05</v>
      </c>
      <c r="D127" s="71">
        <f>Assumptions!$D$50</f>
        <v>12</v>
      </c>
      <c r="E127" s="32" t="s">
        <v>22</v>
      </c>
      <c r="F127" s="28"/>
      <c r="G127" s="71">
        <f>Assumptions!$G$50</f>
        <v>6</v>
      </c>
      <c r="H127" s="32" t="s">
        <v>110</v>
      </c>
      <c r="I127" s="33">
        <f>(((SUM(I107:I112)*POWER((1+C127/12),((D127+G127)/12)*12))-SUM(I107:I112))      +           ((((SUM(I114:I126)*POWER((1+C127/12),((D127+G127)/12)*12))-SUM(I114:I126))*0.5)))</f>
        <v>1225705.8795188786</v>
      </c>
      <c r="K127" s="17" t="s">
        <v>120</v>
      </c>
      <c r="L127" s="17"/>
      <c r="M127" s="45">
        <f>Assumptions!$C$50</f>
        <v>0.05</v>
      </c>
      <c r="N127" s="71">
        <f>Assumptions!$D$50</f>
        <v>12</v>
      </c>
      <c r="O127" s="32" t="s">
        <v>22</v>
      </c>
      <c r="P127" s="28"/>
      <c r="Q127" s="71">
        <f>Assumptions!$G$50</f>
        <v>6</v>
      </c>
      <c r="R127" s="32" t="s">
        <v>110</v>
      </c>
      <c r="S127" s="33">
        <f>(((SUM(S107:S112)*POWER((1+M127/12),((N127+Q127)/12)*12))-SUM(S107:S112))      +           ((((SUM(S114:S126)*POWER((1+M127/12),((N127+Q127)/12)*12))-SUM(S114:S126))*0.5)))</f>
        <v>1169742.645559778</v>
      </c>
      <c r="U127" s="17" t="s">
        <v>120</v>
      </c>
      <c r="V127" s="17"/>
      <c r="W127" s="45">
        <f>Assumptions!$C$50</f>
        <v>0.05</v>
      </c>
      <c r="X127" s="71">
        <f>Assumptions!$D$50</f>
        <v>12</v>
      </c>
      <c r="Y127" s="32" t="s">
        <v>22</v>
      </c>
      <c r="Z127" s="28"/>
      <c r="AA127" s="71">
        <f>Assumptions!$G$50</f>
        <v>6</v>
      </c>
      <c r="AB127" s="32" t="s">
        <v>110</v>
      </c>
      <c r="AC127" s="33">
        <f>(((SUM(AC107:AC112)*POWER((1+W127/12),((X127+AA127)/12)*12))-SUM(AC107:AC112))      +           ((((SUM(AC114:AC126)*POWER((1+W127/12),((X127+AA127)/12)*12))-SUM(AC114:AC126))*0.5)))</f>
        <v>1113810.2831997313</v>
      </c>
      <c r="AE127" s="17" t="s">
        <v>120</v>
      </c>
      <c r="AF127" s="17"/>
      <c r="AG127" s="45">
        <f>Assumptions!$C$50</f>
        <v>0.05</v>
      </c>
      <c r="AH127" s="71">
        <f>Assumptions!$D$50</f>
        <v>12</v>
      </c>
      <c r="AI127" s="32" t="s">
        <v>22</v>
      </c>
      <c r="AJ127" s="28"/>
      <c r="AK127" s="71">
        <f>Assumptions!$G$50</f>
        <v>6</v>
      </c>
      <c r="AL127" s="32" t="s">
        <v>110</v>
      </c>
      <c r="AM127" s="33">
        <f>(((SUM(AM107:AM112)*POWER((1+AG127/12),((AH127+AK127)/12)*12))-SUM(AM107:AM112))      +           ((((SUM(AM114:AM126)*POWER((1+AG127/12),((AH127+AK127)/12)*12))-SUM(AM114:AM126))*0.5)))</f>
        <v>1097835.6688274057</v>
      </c>
    </row>
    <row r="128" spans="1:39" ht="11.1" customHeight="1">
      <c r="A128" s="17" t="s">
        <v>23</v>
      </c>
      <c r="B128" s="17"/>
      <c r="C128" s="45">
        <f>Assumptions!$C$51</f>
        <v>0</v>
      </c>
      <c r="D128" s="32" t="s">
        <v>24</v>
      </c>
      <c r="E128" s="28"/>
      <c r="F128" s="28"/>
      <c r="G128" s="28"/>
      <c r="H128" s="28"/>
      <c r="I128" s="33">
        <f>SUM(I107:I125)*C128</f>
        <v>0</v>
      </c>
      <c r="K128" s="17" t="s">
        <v>23</v>
      </c>
      <c r="L128" s="17"/>
      <c r="M128" s="45">
        <f>Assumptions!$C$51</f>
        <v>0</v>
      </c>
      <c r="N128" s="32" t="s">
        <v>24</v>
      </c>
      <c r="O128" s="28"/>
      <c r="P128" s="28"/>
      <c r="Q128" s="28"/>
      <c r="R128" s="28"/>
      <c r="S128" s="33">
        <f>SUM(S107:S125)*M128</f>
        <v>0</v>
      </c>
      <c r="U128" s="17" t="s">
        <v>23</v>
      </c>
      <c r="V128" s="17"/>
      <c r="W128" s="45">
        <f>Assumptions!$C$51</f>
        <v>0</v>
      </c>
      <c r="X128" s="32" t="s">
        <v>24</v>
      </c>
      <c r="Y128" s="28"/>
      <c r="Z128" s="28"/>
      <c r="AA128" s="28"/>
      <c r="AB128" s="28"/>
      <c r="AC128" s="33">
        <f>SUM(AC107:AC125)*W128</f>
        <v>0</v>
      </c>
      <c r="AE128" s="17" t="s">
        <v>23</v>
      </c>
      <c r="AF128" s="17"/>
      <c r="AG128" s="45">
        <f>Assumptions!$C$51</f>
        <v>0</v>
      </c>
      <c r="AH128" s="32" t="s">
        <v>24</v>
      </c>
      <c r="AI128" s="28"/>
      <c r="AJ128" s="28"/>
      <c r="AK128" s="28"/>
      <c r="AL128" s="28"/>
      <c r="AM128" s="33">
        <f>SUM(AM107:AM125)*AG128</f>
        <v>0</v>
      </c>
    </row>
    <row r="129" spans="1:39" ht="11.1" customHeight="1">
      <c r="A129" s="17" t="s">
        <v>25</v>
      </c>
      <c r="B129" s="17"/>
      <c r="C129" s="155" t="s">
        <v>155</v>
      </c>
      <c r="D129" s="45">
        <f>Assumptions!$D$52</f>
        <v>0.2</v>
      </c>
      <c r="E129" s="32" t="s">
        <v>26</v>
      </c>
      <c r="F129" s="155" t="s">
        <v>156</v>
      </c>
      <c r="G129" s="45">
        <f>Assumptions!$G$52</f>
        <v>0.06</v>
      </c>
      <c r="H129" s="32" t="s">
        <v>26</v>
      </c>
      <c r="I129" s="33">
        <f>SUM(I83:I87)*D129+SUM(I90:I102)*G129</f>
        <v>7254726.84</v>
      </c>
      <c r="K129" s="17" t="s">
        <v>25</v>
      </c>
      <c r="L129" s="17"/>
      <c r="M129" s="155" t="s">
        <v>155</v>
      </c>
      <c r="N129" s="45">
        <f>Assumptions!$D$52</f>
        <v>0.2</v>
      </c>
      <c r="O129" s="32" t="s">
        <v>26</v>
      </c>
      <c r="P129" s="155" t="s">
        <v>156</v>
      </c>
      <c r="Q129" s="45">
        <f>Assumptions!$G$52</f>
        <v>0.06</v>
      </c>
      <c r="R129" s="32" t="s">
        <v>26</v>
      </c>
      <c r="S129" s="33">
        <f>SUM(S83:S87)*N129+SUM(S90:S102)*Q129</f>
        <v>6551003.52</v>
      </c>
      <c r="U129" s="17" t="s">
        <v>25</v>
      </c>
      <c r="V129" s="17"/>
      <c r="W129" s="155" t="s">
        <v>155</v>
      </c>
      <c r="X129" s="45">
        <f>Assumptions!$D$52</f>
        <v>0.2</v>
      </c>
      <c r="Y129" s="32" t="s">
        <v>26</v>
      </c>
      <c r="Z129" s="155" t="s">
        <v>156</v>
      </c>
      <c r="AA129" s="45">
        <f>Assumptions!$G$52</f>
        <v>0.06</v>
      </c>
      <c r="AB129" s="32" t="s">
        <v>26</v>
      </c>
      <c r="AC129" s="33">
        <f>SUM(AC83:AC87)*X129+SUM(AC90:AC102)*AA129</f>
        <v>5856813.84</v>
      </c>
      <c r="AE129" s="17" t="s">
        <v>25</v>
      </c>
      <c r="AF129" s="17"/>
      <c r="AG129" s="155" t="s">
        <v>155</v>
      </c>
      <c r="AH129" s="45">
        <f>Assumptions!$D$52</f>
        <v>0.2</v>
      </c>
      <c r="AI129" s="32" t="s">
        <v>26</v>
      </c>
      <c r="AJ129" s="155" t="s">
        <v>156</v>
      </c>
      <c r="AK129" s="45">
        <f>Assumptions!$G$52</f>
        <v>0.06</v>
      </c>
      <c r="AL129" s="32" t="s">
        <v>26</v>
      </c>
      <c r="AM129" s="33">
        <f>SUM(AM83:AM87)*AH129+SUM(AM90:AM102)*AK129</f>
        <v>5451131.52</v>
      </c>
    </row>
    <row r="130" spans="1:39" ht="11.1" customHeight="1">
      <c r="A130" s="26"/>
      <c r="B130" s="26"/>
      <c r="C130" s="26"/>
      <c r="D130" s="26"/>
      <c r="E130" s="26"/>
      <c r="F130" s="26"/>
      <c r="G130" s="26"/>
      <c r="H130" s="26"/>
      <c r="I130" s="40"/>
      <c r="K130" s="26"/>
      <c r="L130" s="26"/>
      <c r="M130" s="26"/>
      <c r="N130" s="26"/>
      <c r="O130" s="26"/>
      <c r="P130" s="26"/>
      <c r="Q130" s="26"/>
      <c r="R130" s="26"/>
      <c r="S130" s="40"/>
      <c r="U130" s="26"/>
      <c r="V130" s="26"/>
      <c r="W130" s="26"/>
      <c r="X130" s="26"/>
      <c r="Y130" s="26"/>
      <c r="Z130" s="26"/>
      <c r="AA130" s="26"/>
      <c r="AB130" s="26"/>
      <c r="AC130" s="40"/>
      <c r="AE130" s="26"/>
      <c r="AF130" s="26"/>
      <c r="AG130" s="26"/>
      <c r="AH130" s="26"/>
      <c r="AI130" s="26"/>
      <c r="AJ130" s="26"/>
      <c r="AK130" s="26"/>
      <c r="AL130" s="26"/>
      <c r="AM130" s="40"/>
    </row>
    <row r="131" spans="1:39" ht="11.1" customHeight="1">
      <c r="A131" s="25" t="s">
        <v>27</v>
      </c>
      <c r="B131" s="26"/>
      <c r="C131" s="26"/>
      <c r="D131" s="26"/>
      <c r="E131" s="26"/>
      <c r="F131" s="26"/>
      <c r="G131" s="26"/>
      <c r="H131" s="26"/>
      <c r="I131" s="42">
        <f>SUM(I107:I130)</f>
        <v>35409834.62576887</v>
      </c>
      <c r="K131" s="25" t="s">
        <v>27</v>
      </c>
      <c r="L131" s="26"/>
      <c r="M131" s="26"/>
      <c r="N131" s="26"/>
      <c r="O131" s="26"/>
      <c r="P131" s="26"/>
      <c r="Q131" s="26"/>
      <c r="R131" s="26"/>
      <c r="S131" s="42">
        <f>SUM(S107:S130)</f>
        <v>33722588.795559779</v>
      </c>
      <c r="U131" s="25" t="s">
        <v>27</v>
      </c>
      <c r="V131" s="26"/>
      <c r="W131" s="26"/>
      <c r="X131" s="26"/>
      <c r="Y131" s="26"/>
      <c r="Z131" s="26"/>
      <c r="AA131" s="26"/>
      <c r="AB131" s="26"/>
      <c r="AC131" s="42">
        <f>SUM(AC107:AC130)</f>
        <v>32045701.946949735</v>
      </c>
      <c r="AE131" s="25" t="s">
        <v>27</v>
      </c>
      <c r="AF131" s="26"/>
      <c r="AG131" s="26"/>
      <c r="AH131" s="26"/>
      <c r="AI131" s="26"/>
      <c r="AJ131" s="26"/>
      <c r="AK131" s="26"/>
      <c r="AL131" s="26"/>
      <c r="AM131" s="42">
        <f>SUM(AM107:AM130)</f>
        <v>31228553.307577409</v>
      </c>
    </row>
    <row r="132" spans="1:39" ht="11.1" customHeight="1">
      <c r="A132" s="28"/>
      <c r="B132" s="28"/>
      <c r="C132" s="28"/>
      <c r="D132" s="28"/>
      <c r="E132" s="28"/>
      <c r="F132" s="28"/>
      <c r="G132" s="28"/>
      <c r="H132" s="28"/>
      <c r="I132" s="51"/>
      <c r="K132" s="28"/>
      <c r="L132" s="28"/>
      <c r="M132" s="28"/>
      <c r="N132" s="28"/>
      <c r="O132" s="28"/>
      <c r="P132" s="28"/>
      <c r="Q132" s="28"/>
      <c r="R132" s="28"/>
      <c r="S132" s="51"/>
      <c r="U132" s="28"/>
      <c r="V132" s="28"/>
      <c r="W132" s="28"/>
      <c r="X132" s="28"/>
      <c r="Y132" s="28"/>
      <c r="Z132" s="28"/>
      <c r="AA132" s="28"/>
      <c r="AB132" s="28"/>
      <c r="AC132" s="51"/>
      <c r="AE132" s="28"/>
      <c r="AF132" s="28"/>
      <c r="AG132" s="28"/>
      <c r="AH132" s="28"/>
      <c r="AI132" s="28"/>
      <c r="AJ132" s="28"/>
      <c r="AK132" s="28"/>
      <c r="AL132" s="28"/>
      <c r="AM132" s="51"/>
    </row>
    <row r="133" spans="1:39" ht="11.1" customHeight="1">
      <c r="A133" s="52" t="s">
        <v>28</v>
      </c>
      <c r="B133" s="53"/>
      <c r="C133" s="53"/>
      <c r="D133" s="53"/>
      <c r="E133" s="53"/>
      <c r="F133" s="53"/>
      <c r="G133" s="53"/>
      <c r="H133" s="53"/>
      <c r="I133" s="54">
        <f>I104-I131</f>
        <v>1923329.37423113</v>
      </c>
      <c r="K133" s="52" t="s">
        <v>28</v>
      </c>
      <c r="L133" s="53"/>
      <c r="M133" s="53"/>
      <c r="N133" s="53"/>
      <c r="O133" s="53"/>
      <c r="P133" s="53"/>
      <c r="Q133" s="53"/>
      <c r="R133" s="53"/>
      <c r="S133" s="54">
        <f>S104-S131</f>
        <v>1168403.2044402212</v>
      </c>
      <c r="U133" s="52" t="s">
        <v>28</v>
      </c>
      <c r="V133" s="53"/>
      <c r="W133" s="53"/>
      <c r="X133" s="53"/>
      <c r="Y133" s="53"/>
      <c r="Z133" s="53"/>
      <c r="AA133" s="53"/>
      <c r="AB133" s="53"/>
      <c r="AC133" s="54">
        <f>AC104-AC131</f>
        <v>562012.05305026472</v>
      </c>
      <c r="AE133" s="52" t="s">
        <v>28</v>
      </c>
      <c r="AF133" s="53"/>
      <c r="AG133" s="53"/>
      <c r="AH133" s="53"/>
      <c r="AI133" s="53"/>
      <c r="AJ133" s="53"/>
      <c r="AK133" s="53"/>
      <c r="AL133" s="53"/>
      <c r="AM133" s="54">
        <f>AM104-AM131</f>
        <v>1046938.6924225911</v>
      </c>
    </row>
    <row r="134" spans="1:39" ht="11.1" customHeight="1">
      <c r="A134" s="52" t="s">
        <v>107</v>
      </c>
      <c r="B134" s="53"/>
      <c r="C134" s="53"/>
      <c r="D134" s="53"/>
      <c r="E134" s="53"/>
      <c r="F134" s="53"/>
      <c r="G134" s="53"/>
      <c r="H134" s="53"/>
      <c r="I134" s="54">
        <f>I133/D80</f>
        <v>104.70517579787304</v>
      </c>
      <c r="K134" s="52" t="s">
        <v>107</v>
      </c>
      <c r="L134" s="53"/>
      <c r="M134" s="53"/>
      <c r="N134" s="53"/>
      <c r="O134" s="53"/>
      <c r="P134" s="53"/>
      <c r="Q134" s="53"/>
      <c r="R134" s="53"/>
      <c r="S134" s="54">
        <f>S133/N80</f>
        <v>71.558256028920951</v>
      </c>
      <c r="U134" s="52" t="s">
        <v>107</v>
      </c>
      <c r="V134" s="53"/>
      <c r="W134" s="53"/>
      <c r="X134" s="53"/>
      <c r="Y134" s="53"/>
      <c r="Z134" s="53"/>
      <c r="AA134" s="53"/>
      <c r="AB134" s="53"/>
      <c r="AC134" s="54">
        <f>AC133/X80</f>
        <v>39.337303356216474</v>
      </c>
      <c r="AE134" s="52" t="s">
        <v>107</v>
      </c>
      <c r="AF134" s="53"/>
      <c r="AG134" s="53"/>
      <c r="AH134" s="53"/>
      <c r="AI134" s="53"/>
      <c r="AJ134" s="53"/>
      <c r="AK134" s="53"/>
      <c r="AL134" s="53"/>
      <c r="AM134" s="54">
        <f>AM133/AH80</f>
        <v>85.492298907609921</v>
      </c>
    </row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  <row r="268" ht="11.1" customHeight="1"/>
    <row r="269" ht="11.1" customHeight="1"/>
    <row r="270" ht="11.1" customHeight="1"/>
    <row r="271" ht="11.1" customHeight="1"/>
    <row r="272" ht="11.1" customHeight="1"/>
    <row r="273" ht="11.1" customHeight="1"/>
    <row r="274" ht="11.1" customHeight="1"/>
    <row r="275" ht="11.1" customHeight="1"/>
    <row r="276" ht="11.1" customHeight="1"/>
    <row r="277" ht="11.1" customHeight="1"/>
    <row r="278" ht="11.1" customHeight="1"/>
    <row r="279" ht="11.1" customHeight="1"/>
    <row r="280" ht="11.1" customHeight="1"/>
    <row r="281" ht="11.1" customHeight="1"/>
    <row r="282" ht="11.1" customHeight="1"/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  <row r="292" ht="11.1" customHeight="1"/>
    <row r="293" ht="11.1" customHeight="1"/>
    <row r="294" ht="11.1" customHeight="1"/>
    <row r="295" ht="11.1" customHeight="1"/>
    <row r="296" ht="11.1" customHeight="1"/>
    <row r="297" ht="11.1" customHeight="1"/>
    <row r="298" ht="11.1" customHeight="1"/>
    <row r="299" ht="11.1" customHeight="1"/>
    <row r="300" ht="11.1" customHeight="1"/>
    <row r="301" ht="11.1" customHeight="1"/>
    <row r="302" ht="11.1" customHeight="1"/>
    <row r="303" ht="11.1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</sheetData>
  <mergeCells count="8">
    <mergeCell ref="D2:I4"/>
    <mergeCell ref="N2:S4"/>
    <mergeCell ref="X2:AC4"/>
    <mergeCell ref="AH2:AM4"/>
    <mergeCell ref="D70:I72"/>
    <mergeCell ref="N70:S72"/>
    <mergeCell ref="X70:AC72"/>
    <mergeCell ref="AH70:AM72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6145" r:id="rId4">
          <objectPr defaultSize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114523</xdr:colOff>
                <xdr:row>4</xdr:row>
                <xdr:rowOff>114300</xdr:rowOff>
              </to>
            </anchor>
          </objectPr>
        </oleObject>
      </mc:Choice>
      <mc:Fallback>
        <oleObject progId="WordPad.Document.1" shapeId="6145" r:id="rId4"/>
      </mc:Fallback>
    </mc:AlternateContent>
    <mc:AlternateContent xmlns:mc="http://schemas.openxmlformats.org/markup-compatibility/2006">
      <mc:Choice Requires="x14">
        <oleObject progId="WordPad.Document.1" shapeId="6146" r:id="rId6">
          <objectPr defaultSize="0" r:id="rId5">
            <anchor moveWithCells="1" sizeWithCells="1">
              <from>
                <xdr:col>10</xdr:col>
                <xdr:colOff>0</xdr:colOff>
                <xdr:row>1</xdr:row>
                <xdr:rowOff>0</xdr:rowOff>
              </from>
              <to>
                <xdr:col>12</xdr:col>
                <xdr:colOff>114523</xdr:colOff>
                <xdr:row>4</xdr:row>
                <xdr:rowOff>114300</xdr:rowOff>
              </to>
            </anchor>
          </objectPr>
        </oleObject>
      </mc:Choice>
      <mc:Fallback>
        <oleObject progId="WordPad.Document.1" shapeId="6146" r:id="rId6"/>
      </mc:Fallback>
    </mc:AlternateContent>
    <mc:AlternateContent xmlns:mc="http://schemas.openxmlformats.org/markup-compatibility/2006">
      <mc:Choice Requires="x14">
        <oleObject progId="WordPad.Document.1" shapeId="6148" r:id="rId7">
          <objectPr defaultSize="0" r:id="rId5">
            <anchor moveWithCells="1" sizeWithCells="1">
              <from>
                <xdr:col>20</xdr:col>
                <xdr:colOff>0</xdr:colOff>
                <xdr:row>1</xdr:row>
                <xdr:rowOff>0</xdr:rowOff>
              </from>
              <to>
                <xdr:col>22</xdr:col>
                <xdr:colOff>114523</xdr:colOff>
                <xdr:row>4</xdr:row>
                <xdr:rowOff>114300</xdr:rowOff>
              </to>
            </anchor>
          </objectPr>
        </oleObject>
      </mc:Choice>
      <mc:Fallback>
        <oleObject progId="WordPad.Document.1" shapeId="6148" r:id="rId7"/>
      </mc:Fallback>
    </mc:AlternateContent>
    <mc:AlternateContent xmlns:mc="http://schemas.openxmlformats.org/markup-compatibility/2006">
      <mc:Choice Requires="x14">
        <oleObject progId="WordPad.Document.1" shapeId="6149" r:id="rId8">
          <objectPr defaultSize="0" r:id="rId5">
            <anchor moveWithCells="1" sizeWithCells="1">
              <from>
                <xdr:col>30</xdr:col>
                <xdr:colOff>0</xdr:colOff>
                <xdr:row>1</xdr:row>
                <xdr:rowOff>0</xdr:rowOff>
              </from>
              <to>
                <xdr:col>32</xdr:col>
                <xdr:colOff>114523</xdr:colOff>
                <xdr:row>4</xdr:row>
                <xdr:rowOff>114300</xdr:rowOff>
              </to>
            </anchor>
          </objectPr>
        </oleObject>
      </mc:Choice>
      <mc:Fallback>
        <oleObject progId="WordPad.Document.1" shapeId="6149" r:id="rId8"/>
      </mc:Fallback>
    </mc:AlternateContent>
    <mc:AlternateContent xmlns:mc="http://schemas.openxmlformats.org/markup-compatibility/2006">
      <mc:Choice Requires="x14">
        <oleObject progId="WordPad.Document.1" shapeId="6156" r:id="rId9">
          <objectPr defaultSize="0" r:id="rId5">
            <anchor moveWithCells="1" sizeWithCells="1">
              <from>
                <xdr:col>0</xdr:col>
                <xdr:colOff>0</xdr:colOff>
                <xdr:row>69</xdr:row>
                <xdr:rowOff>0</xdr:rowOff>
              </from>
              <to>
                <xdr:col>2</xdr:col>
                <xdr:colOff>114523</xdr:colOff>
                <xdr:row>72</xdr:row>
                <xdr:rowOff>114300</xdr:rowOff>
              </to>
            </anchor>
          </objectPr>
        </oleObject>
      </mc:Choice>
      <mc:Fallback>
        <oleObject progId="WordPad.Document.1" shapeId="6156" r:id="rId9"/>
      </mc:Fallback>
    </mc:AlternateContent>
    <mc:AlternateContent xmlns:mc="http://schemas.openxmlformats.org/markup-compatibility/2006">
      <mc:Choice Requires="x14">
        <oleObject progId="WordPad.Document.1" shapeId="6157" r:id="rId10">
          <objectPr defaultSize="0" r:id="rId5">
            <anchor moveWithCells="1" sizeWithCells="1">
              <from>
                <xdr:col>10</xdr:col>
                <xdr:colOff>0</xdr:colOff>
                <xdr:row>69</xdr:row>
                <xdr:rowOff>0</xdr:rowOff>
              </from>
              <to>
                <xdr:col>12</xdr:col>
                <xdr:colOff>114523</xdr:colOff>
                <xdr:row>72</xdr:row>
                <xdr:rowOff>114300</xdr:rowOff>
              </to>
            </anchor>
          </objectPr>
        </oleObject>
      </mc:Choice>
      <mc:Fallback>
        <oleObject progId="WordPad.Document.1" shapeId="6157" r:id="rId10"/>
      </mc:Fallback>
    </mc:AlternateContent>
    <mc:AlternateContent xmlns:mc="http://schemas.openxmlformats.org/markup-compatibility/2006">
      <mc:Choice Requires="x14">
        <oleObject progId="WordPad.Document.1" shapeId="6158" r:id="rId11">
          <objectPr defaultSize="0" r:id="rId5">
            <anchor moveWithCells="1" sizeWithCells="1">
              <from>
                <xdr:col>20</xdr:col>
                <xdr:colOff>0</xdr:colOff>
                <xdr:row>69</xdr:row>
                <xdr:rowOff>0</xdr:rowOff>
              </from>
              <to>
                <xdr:col>22</xdr:col>
                <xdr:colOff>114523</xdr:colOff>
                <xdr:row>72</xdr:row>
                <xdr:rowOff>114300</xdr:rowOff>
              </to>
            </anchor>
          </objectPr>
        </oleObject>
      </mc:Choice>
      <mc:Fallback>
        <oleObject progId="WordPad.Document.1" shapeId="6158" r:id="rId11"/>
      </mc:Fallback>
    </mc:AlternateContent>
    <mc:AlternateContent xmlns:mc="http://schemas.openxmlformats.org/markup-compatibility/2006">
      <mc:Choice Requires="x14">
        <oleObject progId="WordPad.Document.1" shapeId="6159" r:id="rId12">
          <objectPr defaultSize="0" r:id="rId5">
            <anchor moveWithCells="1" sizeWithCells="1">
              <from>
                <xdr:col>30</xdr:col>
                <xdr:colOff>0</xdr:colOff>
                <xdr:row>69</xdr:row>
                <xdr:rowOff>0</xdr:rowOff>
              </from>
              <to>
                <xdr:col>32</xdr:col>
                <xdr:colOff>114523</xdr:colOff>
                <xdr:row>72</xdr:row>
                <xdr:rowOff>114300</xdr:rowOff>
              </to>
            </anchor>
          </objectPr>
        </oleObject>
      </mc:Choice>
      <mc:Fallback>
        <oleObject progId="WordPad.Document.1" shapeId="6159" r:id="rId12"/>
      </mc:Fallback>
    </mc:AlternateContent>
  </oleObjects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M541"/>
  <sheetViews>
    <sheetView topLeftCell="A119" zoomScale="50" view="normal" workbookViewId="0">
      <selection pane="topLeft" activeCell="A137" sqref="A137:AP204"/>
    </sheetView>
  </sheetViews>
  <sheetFormatPr defaultRowHeight="15"/>
  <cols>
    <col min="7" max="7" width="6.75390625" customWidth="1"/>
    <col min="9" max="9" width="12.75390625" customWidth="1"/>
    <col min="10" max="10" width="1.75390625" customWidth="1"/>
    <col min="17" max="17" width="6.75390625" customWidth="1"/>
    <col min="19" max="19" width="12.75390625" customWidth="1"/>
    <col min="20" max="20" width="1.75390625" customWidth="1"/>
    <col min="27" max="27" width="6.75390625" customWidth="1"/>
    <col min="29" max="29" width="12.75390625" customWidth="1"/>
    <col min="30" max="30" width="1.75390625" customWidth="1"/>
    <col min="37" max="37" width="6.75390625" customWidth="1"/>
    <col min="39" max="39" width="12.75390625" customWidth="1"/>
    <col min="40" max="40" width="1.75390625" customWidth="1"/>
    <col min="47" max="47" width="6.75390625" customWidth="1"/>
    <col min="49" max="49" width="12.75390625" customWidth="1"/>
  </cols>
  <sheetData>
    <row r="1" spans="1:39" ht="11.1" customHeight="1">
      <c r="A1" s="5"/>
      <c r="B1" s="14"/>
      <c r="C1" s="14"/>
      <c r="D1" s="15"/>
      <c r="E1" s="14"/>
      <c r="F1" s="14"/>
      <c r="G1" s="14"/>
      <c r="H1" s="14"/>
      <c r="I1" s="14"/>
      <c r="K1" s="5"/>
      <c r="L1" s="14"/>
      <c r="M1" s="14"/>
      <c r="N1" s="15"/>
      <c r="O1" s="14"/>
      <c r="P1" s="14"/>
      <c r="Q1" s="14"/>
      <c r="R1" s="14"/>
      <c r="S1" s="14"/>
      <c r="U1" s="5"/>
      <c r="V1" s="14"/>
      <c r="W1" s="14"/>
      <c r="X1" s="15"/>
      <c r="Y1" s="14"/>
      <c r="Z1" s="14"/>
      <c r="AA1" s="14"/>
      <c r="AB1" s="14"/>
      <c r="AC1" s="14"/>
      <c r="AE1" s="5"/>
      <c r="AF1" s="14"/>
      <c r="AG1" s="14"/>
      <c r="AH1" s="15"/>
      <c r="AI1" s="14"/>
      <c r="AJ1" s="14"/>
      <c r="AK1" s="14"/>
      <c r="AL1" s="14"/>
      <c r="AM1" s="14"/>
    </row>
    <row r="2" spans="1:39" ht="11.1" customHeight="1">
      <c r="A2" s="5"/>
      <c r="B2" s="5"/>
      <c r="C2" s="5"/>
      <c r="D2" s="310" t="s">
        <v>79</v>
      </c>
      <c r="E2" s="310"/>
      <c r="F2" s="310"/>
      <c r="G2" s="310"/>
      <c r="H2" s="310"/>
      <c r="I2" s="310"/>
      <c r="K2" s="5"/>
      <c r="L2" s="5"/>
      <c r="M2" s="5"/>
      <c r="N2" s="310" t="s">
        <v>79</v>
      </c>
      <c r="O2" s="310"/>
      <c r="P2" s="310"/>
      <c r="Q2" s="310"/>
      <c r="R2" s="310"/>
      <c r="S2" s="310"/>
      <c r="U2" s="5"/>
      <c r="V2" s="5"/>
      <c r="W2" s="5"/>
      <c r="X2" s="310" t="s">
        <v>79</v>
      </c>
      <c r="Y2" s="310"/>
      <c r="Z2" s="310"/>
      <c r="AA2" s="310"/>
      <c r="AB2" s="310"/>
      <c r="AC2" s="310"/>
      <c r="AE2" s="5"/>
      <c r="AF2" s="5"/>
      <c r="AG2" s="5"/>
      <c r="AH2" s="310" t="s">
        <v>79</v>
      </c>
      <c r="AI2" s="310"/>
      <c r="AJ2" s="310"/>
      <c r="AK2" s="310"/>
      <c r="AL2" s="310"/>
      <c r="AM2" s="310"/>
    </row>
    <row r="3" spans="1:39" ht="11.1" customHeight="1">
      <c r="A3" s="5"/>
      <c r="B3" s="5"/>
      <c r="C3" s="5"/>
      <c r="D3" s="310"/>
      <c r="E3" s="310"/>
      <c r="F3" s="310"/>
      <c r="G3" s="310"/>
      <c r="H3" s="310"/>
      <c r="I3" s="310"/>
      <c r="K3" s="5"/>
      <c r="L3" s="5"/>
      <c r="M3" s="5"/>
      <c r="N3" s="310"/>
      <c r="O3" s="310"/>
      <c r="P3" s="310"/>
      <c r="Q3" s="310"/>
      <c r="R3" s="310"/>
      <c r="S3" s="310"/>
      <c r="U3" s="5"/>
      <c r="V3" s="5"/>
      <c r="W3" s="5"/>
      <c r="X3" s="310"/>
      <c r="Y3" s="310"/>
      <c r="Z3" s="310"/>
      <c r="AA3" s="310"/>
      <c r="AB3" s="310"/>
      <c r="AC3" s="310"/>
      <c r="AE3" s="5"/>
      <c r="AF3" s="5"/>
      <c r="AG3" s="5"/>
      <c r="AH3" s="310"/>
      <c r="AI3" s="310"/>
      <c r="AJ3" s="310"/>
      <c r="AK3" s="310"/>
      <c r="AL3" s="310"/>
      <c r="AM3" s="310"/>
    </row>
    <row r="4" spans="1:39" ht="11.1" customHeight="1">
      <c r="A4" s="5"/>
      <c r="B4" s="5"/>
      <c r="C4" s="5"/>
      <c r="D4" s="310"/>
      <c r="E4" s="310"/>
      <c r="F4" s="310"/>
      <c r="G4" s="310"/>
      <c r="H4" s="310"/>
      <c r="I4" s="310"/>
      <c r="K4" s="5"/>
      <c r="L4" s="5"/>
      <c r="M4" s="5"/>
      <c r="N4" s="310"/>
      <c r="O4" s="310"/>
      <c r="P4" s="310"/>
      <c r="Q4" s="310"/>
      <c r="R4" s="310"/>
      <c r="S4" s="310"/>
      <c r="U4" s="5"/>
      <c r="V4" s="5"/>
      <c r="W4" s="5"/>
      <c r="X4" s="310"/>
      <c r="Y4" s="310"/>
      <c r="Z4" s="310"/>
      <c r="AA4" s="310"/>
      <c r="AB4" s="310"/>
      <c r="AC4" s="310"/>
      <c r="AE4" s="5"/>
      <c r="AF4" s="5"/>
      <c r="AG4" s="5"/>
      <c r="AH4" s="310"/>
      <c r="AI4" s="310"/>
      <c r="AJ4" s="310"/>
      <c r="AK4" s="310"/>
      <c r="AL4" s="310"/>
      <c r="AM4" s="310"/>
    </row>
    <row r="5" spans="1:39" ht="11.1" customHeight="1">
      <c r="A5" s="5"/>
      <c r="B5" s="5"/>
      <c r="C5" s="5"/>
      <c r="D5" s="5"/>
      <c r="E5" s="5"/>
      <c r="F5" s="5"/>
      <c r="G5" s="5"/>
      <c r="H5" s="5"/>
      <c r="I5" s="5"/>
      <c r="K5" s="5"/>
      <c r="L5" s="5"/>
      <c r="M5" s="5"/>
      <c r="N5" s="5"/>
      <c r="O5" s="5"/>
      <c r="P5" s="5"/>
      <c r="Q5" s="5"/>
      <c r="R5" s="5"/>
      <c r="S5" s="5"/>
      <c r="U5" s="5"/>
      <c r="V5" s="5"/>
      <c r="W5" s="5"/>
      <c r="X5" s="5"/>
      <c r="Y5" s="5"/>
      <c r="Z5" s="5"/>
      <c r="AA5" s="5"/>
      <c r="AB5" s="5"/>
      <c r="AC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1.1" customHeight="1">
      <c r="A6" s="16" t="s">
        <v>0</v>
      </c>
      <c r="B6" s="16"/>
      <c r="C6" s="17"/>
      <c r="D6" s="80" t="str">
        <f>Assumptions!$B$69</f>
        <v>Medium Scale Mixed Development</v>
      </c>
      <c r="E6" s="75"/>
      <c r="F6" s="75"/>
      <c r="G6" s="76"/>
      <c r="H6" s="30" t="s">
        <v>36</v>
      </c>
      <c r="I6" s="62">
        <f>Assumptions!$C$70</f>
        <v>0</v>
      </c>
      <c r="K6" s="16" t="s">
        <v>0</v>
      </c>
      <c r="L6" s="16"/>
      <c r="M6" s="17"/>
      <c r="N6" s="80" t="str">
        <f>Assumptions!$B$69</f>
        <v>Medium Scale Mixed Development</v>
      </c>
      <c r="O6" s="75"/>
      <c r="P6" s="75"/>
      <c r="Q6" s="76"/>
      <c r="R6" s="30" t="s">
        <v>36</v>
      </c>
      <c r="S6" s="62">
        <f>Assumptions!$C$70</f>
        <v>0</v>
      </c>
      <c r="U6" s="16" t="s">
        <v>0</v>
      </c>
      <c r="V6" s="16"/>
      <c r="W6" s="17"/>
      <c r="X6" s="80" t="str">
        <f>Assumptions!$B$69</f>
        <v>Medium Scale Mixed Development</v>
      </c>
      <c r="Y6" s="75"/>
      <c r="Z6" s="75"/>
      <c r="AA6" s="76"/>
      <c r="AB6" s="30" t="s">
        <v>36</v>
      </c>
      <c r="AC6" s="62">
        <f>Assumptions!$C$70</f>
        <v>0</v>
      </c>
      <c r="AE6" s="16" t="s">
        <v>0</v>
      </c>
      <c r="AF6" s="16"/>
      <c r="AG6" s="17"/>
      <c r="AH6" s="80" t="str">
        <f>Assumptions!$B$69</f>
        <v>Medium Scale Mixed Development</v>
      </c>
      <c r="AI6" s="75"/>
      <c r="AJ6" s="75"/>
      <c r="AK6" s="76"/>
      <c r="AL6" s="30" t="s">
        <v>36</v>
      </c>
      <c r="AM6" s="62">
        <f>Assumptions!$C$70</f>
        <v>0</v>
      </c>
    </row>
    <row r="7" spans="1:39" ht="11.1" customHeight="1">
      <c r="A7" s="16" t="s">
        <v>1</v>
      </c>
      <c r="B7" s="17"/>
      <c r="C7" s="17"/>
      <c r="D7" s="80" t="str">
        <f>'Land Values'!A10</f>
        <v>Greenfield </v>
      </c>
      <c r="E7" s="75"/>
      <c r="F7" s="75"/>
      <c r="G7" s="77"/>
      <c r="H7" s="30" t="s">
        <v>37</v>
      </c>
      <c r="I7" s="62">
        <f>Assumptions!$C$71</f>
        <v>50</v>
      </c>
      <c r="K7" s="16" t="s">
        <v>1</v>
      </c>
      <c r="L7" s="17"/>
      <c r="M7" s="17"/>
      <c r="N7" s="80" t="str">
        <f>'Land Values'!$A$10</f>
        <v>Greenfield </v>
      </c>
      <c r="O7" s="75"/>
      <c r="P7" s="75"/>
      <c r="Q7" s="77"/>
      <c r="R7" s="30" t="s">
        <v>37</v>
      </c>
      <c r="S7" s="62">
        <f>Assumptions!$C$71</f>
        <v>50</v>
      </c>
      <c r="U7" s="16" t="s">
        <v>1</v>
      </c>
      <c r="V7" s="17"/>
      <c r="W7" s="17"/>
      <c r="X7" s="80" t="str">
        <f>'Land Values'!$A$10</f>
        <v>Greenfield </v>
      </c>
      <c r="Y7" s="75"/>
      <c r="Z7" s="75"/>
      <c r="AA7" s="77"/>
      <c r="AB7" s="30" t="s">
        <v>37</v>
      </c>
      <c r="AC7" s="62">
        <f>Assumptions!$C$71</f>
        <v>50</v>
      </c>
      <c r="AE7" s="16" t="s">
        <v>1</v>
      </c>
      <c r="AF7" s="17"/>
      <c r="AG7" s="17"/>
      <c r="AH7" s="80" t="str">
        <f>'Land Values'!$A$10</f>
        <v>Greenfield </v>
      </c>
      <c r="AI7" s="75"/>
      <c r="AJ7" s="75"/>
      <c r="AK7" s="77"/>
      <c r="AL7" s="30" t="s">
        <v>37</v>
      </c>
      <c r="AM7" s="62">
        <f>Assumptions!$C$71</f>
        <v>50</v>
      </c>
    </row>
    <row r="8" spans="1:39" ht="11.1" customHeight="1">
      <c r="A8" s="16" t="s">
        <v>2</v>
      </c>
      <c r="B8" s="16"/>
      <c r="C8" s="17"/>
      <c r="D8" s="81" t="str">
        <f>Assumptions!A13</f>
        <v>Malpas &amp; Bettws</v>
      </c>
      <c r="E8" s="78"/>
      <c r="F8" s="78"/>
      <c r="G8" s="79"/>
      <c r="H8" s="30" t="s">
        <v>38</v>
      </c>
      <c r="I8" s="62">
        <f>Assumptions!$C$72</f>
        <v>125</v>
      </c>
      <c r="K8" s="16" t="s">
        <v>2</v>
      </c>
      <c r="L8" s="16"/>
      <c r="M8" s="17"/>
      <c r="N8" s="275" t="str">
        <f>Assumptions!A14</f>
        <v>Newport East </v>
      </c>
      <c r="O8" s="276"/>
      <c r="P8" s="276"/>
      <c r="Q8" s="277"/>
      <c r="R8" s="30" t="s">
        <v>38</v>
      </c>
      <c r="S8" s="62">
        <f>Assumptions!$C$72</f>
        <v>125</v>
      </c>
      <c r="U8" s="16" t="s">
        <v>2</v>
      </c>
      <c r="V8" s="16"/>
      <c r="W8" s="17"/>
      <c r="X8" s="272" t="str">
        <f>Assumptions!A15</f>
        <v>Rog/Newport West </v>
      </c>
      <c r="Y8" s="273"/>
      <c r="Z8" s="273"/>
      <c r="AA8" s="274"/>
      <c r="AB8" s="30" t="s">
        <v>38</v>
      </c>
      <c r="AC8" s="62">
        <f>Assumptions!$C$72</f>
        <v>125</v>
      </c>
      <c r="AE8" s="16" t="s">
        <v>2</v>
      </c>
      <c r="AF8" s="16"/>
      <c r="AG8" s="17"/>
      <c r="AH8" s="269" t="str">
        <f>Assumptions!A16</f>
        <v>Caerleon/Rural</v>
      </c>
      <c r="AI8" s="270"/>
      <c r="AJ8" s="270"/>
      <c r="AK8" s="271"/>
      <c r="AL8" s="30" t="s">
        <v>38</v>
      </c>
      <c r="AM8" s="62">
        <f>Assumptions!$C$72</f>
        <v>125</v>
      </c>
    </row>
    <row r="9" spans="1:39" ht="11.1" customHeight="1">
      <c r="A9" s="16" t="s">
        <v>3</v>
      </c>
      <c r="B9" s="16"/>
      <c r="C9" s="17"/>
      <c r="D9" s="63">
        <f>SUM(I6:I10)</f>
        <v>300</v>
      </c>
      <c r="E9" s="55" t="s">
        <v>95</v>
      </c>
      <c r="F9" s="17"/>
      <c r="G9" s="19"/>
      <c r="H9" s="30" t="s">
        <v>39</v>
      </c>
      <c r="I9" s="62">
        <f>Assumptions!$C$73</f>
        <v>75</v>
      </c>
      <c r="K9" s="16" t="s">
        <v>3</v>
      </c>
      <c r="L9" s="16"/>
      <c r="M9" s="17"/>
      <c r="N9" s="63">
        <f>SUM(S6:S10)</f>
        <v>300</v>
      </c>
      <c r="O9" s="55" t="s">
        <v>95</v>
      </c>
      <c r="P9" s="17"/>
      <c r="Q9" s="19"/>
      <c r="R9" s="30" t="s">
        <v>39</v>
      </c>
      <c r="S9" s="62">
        <f>Assumptions!$C$73</f>
        <v>75</v>
      </c>
      <c r="U9" s="16" t="s">
        <v>3</v>
      </c>
      <c r="V9" s="16"/>
      <c r="W9" s="17"/>
      <c r="X9" s="63">
        <f>SUM(AC6:AC10)</f>
        <v>300</v>
      </c>
      <c r="Y9" s="55" t="s">
        <v>95</v>
      </c>
      <c r="Z9" s="17"/>
      <c r="AA9" s="19"/>
      <c r="AB9" s="30" t="s">
        <v>39</v>
      </c>
      <c r="AC9" s="62">
        <f>Assumptions!$C$73</f>
        <v>75</v>
      </c>
      <c r="AE9" s="16" t="s">
        <v>3</v>
      </c>
      <c r="AF9" s="16"/>
      <c r="AG9" s="17"/>
      <c r="AH9" s="63">
        <f>SUM(AM6:AM10)</f>
        <v>300</v>
      </c>
      <c r="AI9" s="55" t="s">
        <v>95</v>
      </c>
      <c r="AJ9" s="17"/>
      <c r="AK9" s="19"/>
      <c r="AL9" s="30" t="s">
        <v>39</v>
      </c>
      <c r="AM9" s="62">
        <f>Assumptions!$C$73</f>
        <v>75</v>
      </c>
    </row>
    <row r="10" spans="1:39" ht="11.1" customHeight="1">
      <c r="A10" s="16" t="s">
        <v>81</v>
      </c>
      <c r="B10" s="17"/>
      <c r="C10" s="22">
        <f>Assumptions!$C$13</f>
        <v>0.1</v>
      </c>
      <c r="D10" s="63">
        <f>D9*C10</f>
        <v>30</v>
      </c>
      <c r="E10" s="55" t="s">
        <v>83</v>
      </c>
      <c r="F10" s="19"/>
      <c r="G10" s="21"/>
      <c r="H10" s="30" t="s">
        <v>40</v>
      </c>
      <c r="I10" s="62">
        <f>Assumptions!$C$74</f>
        <v>50</v>
      </c>
      <c r="K10" s="16" t="s">
        <v>81</v>
      </c>
      <c r="L10" s="17"/>
      <c r="M10" s="22">
        <f>Assumptions!$C$14</f>
        <v>0.2</v>
      </c>
      <c r="N10" s="63">
        <f>N9*M10</f>
        <v>60</v>
      </c>
      <c r="O10" s="55" t="s">
        <v>83</v>
      </c>
      <c r="P10" s="19"/>
      <c r="Q10" s="21"/>
      <c r="R10" s="30" t="s">
        <v>40</v>
      </c>
      <c r="S10" s="62">
        <f>Assumptions!$C$74</f>
        <v>50</v>
      </c>
      <c r="U10" s="16" t="s">
        <v>81</v>
      </c>
      <c r="V10" s="17"/>
      <c r="W10" s="22">
        <f>Assumptions!$C$15</f>
        <v>0.3</v>
      </c>
      <c r="X10" s="63">
        <f>X9*W10</f>
        <v>90</v>
      </c>
      <c r="Y10" s="55" t="s">
        <v>83</v>
      </c>
      <c r="Z10" s="19"/>
      <c r="AA10" s="21"/>
      <c r="AB10" s="30" t="s">
        <v>40</v>
      </c>
      <c r="AC10" s="62">
        <f>Assumptions!$C$74</f>
        <v>50</v>
      </c>
      <c r="AE10" s="16" t="s">
        <v>81</v>
      </c>
      <c r="AF10" s="17"/>
      <c r="AG10" s="22">
        <f>Assumptions!$C$16</f>
        <v>0.4</v>
      </c>
      <c r="AH10" s="63">
        <f>AH9*AG10</f>
        <v>120</v>
      </c>
      <c r="AI10" s="55" t="s">
        <v>83</v>
      </c>
      <c r="AJ10" s="19"/>
      <c r="AK10" s="21"/>
      <c r="AL10" s="30" t="s">
        <v>40</v>
      </c>
      <c r="AM10" s="62">
        <f>Assumptions!$C$74</f>
        <v>50</v>
      </c>
    </row>
    <row r="11" spans="1:39" ht="11.1" customHeight="1">
      <c r="A11" s="16" t="s">
        <v>84</v>
      </c>
      <c r="B11" s="17"/>
      <c r="C11" s="64">
        <f>Assumptions!$D$13</f>
        <v>1</v>
      </c>
      <c r="D11" s="30" t="s">
        <v>33</v>
      </c>
      <c r="E11" s="22">
        <f>Assumptions!$E$13</f>
        <v>0</v>
      </c>
      <c r="F11" s="30" t="s">
        <v>34</v>
      </c>
      <c r="G11" s="65">
        <f>Assumptions!$F$13</f>
        <v>0</v>
      </c>
      <c r="H11" s="55" t="s">
        <v>35</v>
      </c>
      <c r="I11" s="11"/>
      <c r="K11" s="16" t="s">
        <v>84</v>
      </c>
      <c r="L11" s="17"/>
      <c r="M11" s="64">
        <f>Assumptions!$D$14</f>
        <v>1</v>
      </c>
      <c r="N11" s="30" t="s">
        <v>33</v>
      </c>
      <c r="O11" s="22">
        <f>Assumptions!$E$14</f>
        <v>0</v>
      </c>
      <c r="P11" s="30" t="s">
        <v>34</v>
      </c>
      <c r="Q11" s="65">
        <f>Assumptions!$F$14</f>
        <v>0</v>
      </c>
      <c r="R11" s="55" t="s">
        <v>35</v>
      </c>
      <c r="S11" s="11"/>
      <c r="U11" s="16" t="s">
        <v>84</v>
      </c>
      <c r="V11" s="17"/>
      <c r="W11" s="64">
        <f>Assumptions!$D$15</f>
        <v>1</v>
      </c>
      <c r="X11" s="30" t="s">
        <v>33</v>
      </c>
      <c r="Y11" s="22">
        <f>Assumptions!$E$15</f>
        <v>0</v>
      </c>
      <c r="Z11" s="30" t="s">
        <v>34</v>
      </c>
      <c r="AA11" s="65">
        <f>Assumptions!$F$15</f>
        <v>0</v>
      </c>
      <c r="AB11" s="55" t="s">
        <v>35</v>
      </c>
      <c r="AC11" s="11"/>
      <c r="AE11" s="16" t="s">
        <v>84</v>
      </c>
      <c r="AF11" s="17"/>
      <c r="AG11" s="64">
        <f>Assumptions!$D$16</f>
        <v>1</v>
      </c>
      <c r="AH11" s="30" t="s">
        <v>33</v>
      </c>
      <c r="AI11" s="22">
        <f>Assumptions!$E$16</f>
        <v>0</v>
      </c>
      <c r="AJ11" s="30" t="s">
        <v>34</v>
      </c>
      <c r="AK11" s="65">
        <f>Assumptions!$F$16</f>
        <v>0</v>
      </c>
      <c r="AL11" s="55" t="s">
        <v>35</v>
      </c>
      <c r="AM11" s="11"/>
    </row>
    <row r="12" spans="1:39" ht="11.1" customHeight="1">
      <c r="A12" s="16" t="s">
        <v>85</v>
      </c>
      <c r="B12" s="17"/>
      <c r="C12" s="17"/>
      <c r="D12" s="23">
        <f>(A15*C15)+(A16*C16)+(A17*C17)+(A18*C18)+(A19*C19)</f>
        <v>28125</v>
      </c>
      <c r="E12" s="55" t="s">
        <v>86</v>
      </c>
      <c r="F12" s="19"/>
      <c r="G12" s="24">
        <f>SUM(A22*C22)+(A23*C23)+(A24*C24)+(A27*C27)+(A28*C28)+(A29*C29)+(A32*C32)+(A33*C33)+(A34*C34)</f>
        <v>2589</v>
      </c>
      <c r="H12" s="30" t="s">
        <v>87</v>
      </c>
      <c r="I12" s="19"/>
      <c r="K12" s="16" t="s">
        <v>85</v>
      </c>
      <c r="L12" s="17"/>
      <c r="M12" s="17"/>
      <c r="N12" s="23">
        <f>(K15*M15)+(K16*M16)+(K17*M17)+(K18*M18)+(K19*M19)</f>
        <v>25000</v>
      </c>
      <c r="O12" s="55" t="s">
        <v>86</v>
      </c>
      <c r="P12" s="19"/>
      <c r="Q12" s="24">
        <f>SUM(K22*M22)+(K23*M23)+(K24*M24)+(K27*M27)+(K28*M28)+(K29*M29)+(K32*M32)+(K33*M33)+(K34*M34)</f>
        <v>5178</v>
      </c>
      <c r="R12" s="30" t="s">
        <v>87</v>
      </c>
      <c r="S12" s="19"/>
      <c r="U12" s="16" t="s">
        <v>85</v>
      </c>
      <c r="V12" s="17"/>
      <c r="W12" s="17"/>
      <c r="X12" s="23">
        <f>(U15*W15)+(U16*W16)+(U17*W17)+(U18*W18)+(U19*W19)</f>
        <v>21875</v>
      </c>
      <c r="Y12" s="55" t="s">
        <v>86</v>
      </c>
      <c r="Z12" s="19"/>
      <c r="AA12" s="24">
        <f>SUM(U22*W22)+(U23*W23)+(U24*W24)+(U27*W27)+(U28*W28)+(U29*W29)+(U32*W32)+(U33*W33)+(U34*W34)</f>
        <v>7766.9999999999991</v>
      </c>
      <c r="AB12" s="30" t="s">
        <v>87</v>
      </c>
      <c r="AC12" s="19"/>
      <c r="AE12" s="16" t="s">
        <v>85</v>
      </c>
      <c r="AF12" s="17"/>
      <c r="AG12" s="17"/>
      <c r="AH12" s="23">
        <f>(AE15*AG15)+(AE16*AG16)+(AE17*AG17)+(AE18*AG18)+(AE19*AG19)</f>
        <v>18750</v>
      </c>
      <c r="AI12" s="55" t="s">
        <v>86</v>
      </c>
      <c r="AJ12" s="19"/>
      <c r="AK12" s="24">
        <f>SUM(AE22*AG22)+(AE23*AG23)+(AE24*AG24)+(AE27*AG27)+(AE28*AG28)+(AE29*AG29)+(AE32*AG32)+(AE33*AG33)+(AE34*AG34)</f>
        <v>10356</v>
      </c>
      <c r="AL12" s="30" t="s">
        <v>87</v>
      </c>
      <c r="AM12" s="19"/>
    </row>
    <row r="13" spans="1:39" ht="11.1" customHeight="1">
      <c r="A13" s="25" t="s">
        <v>4</v>
      </c>
      <c r="B13" s="26"/>
      <c r="C13" s="26"/>
      <c r="D13" s="26"/>
      <c r="E13" s="26"/>
      <c r="F13" s="26"/>
      <c r="G13" s="26"/>
      <c r="H13" s="26"/>
      <c r="I13" s="27"/>
      <c r="K13" s="25" t="s">
        <v>4</v>
      </c>
      <c r="L13" s="26"/>
      <c r="M13" s="26"/>
      <c r="N13" s="26"/>
      <c r="O13" s="26"/>
      <c r="P13" s="26"/>
      <c r="Q13" s="26"/>
      <c r="R13" s="26"/>
      <c r="S13" s="27"/>
      <c r="U13" s="25" t="s">
        <v>4</v>
      </c>
      <c r="V13" s="26"/>
      <c r="W13" s="26"/>
      <c r="X13" s="26"/>
      <c r="Y13" s="26"/>
      <c r="Z13" s="26"/>
      <c r="AA13" s="26"/>
      <c r="AB13" s="26"/>
      <c r="AC13" s="27"/>
      <c r="AE13" s="25" t="s">
        <v>4</v>
      </c>
      <c r="AF13" s="26"/>
      <c r="AG13" s="26"/>
      <c r="AH13" s="26"/>
      <c r="AI13" s="26"/>
      <c r="AJ13" s="26"/>
      <c r="AK13" s="26"/>
      <c r="AL13" s="26"/>
      <c r="AM13" s="27"/>
    </row>
    <row r="14" spans="1:39" ht="11.1" customHeight="1">
      <c r="A14" s="17" t="s">
        <v>88</v>
      </c>
      <c r="B14" s="17"/>
      <c r="C14" s="28"/>
      <c r="D14" s="28"/>
      <c r="E14" s="28"/>
      <c r="F14" s="28"/>
      <c r="G14" s="28"/>
      <c r="H14" s="28"/>
      <c r="I14" s="19"/>
      <c r="K14" s="17" t="s">
        <v>88</v>
      </c>
      <c r="L14" s="17"/>
      <c r="M14" s="28"/>
      <c r="N14" s="28"/>
      <c r="O14" s="28"/>
      <c r="P14" s="28"/>
      <c r="Q14" s="28"/>
      <c r="R14" s="28"/>
      <c r="S14" s="19"/>
      <c r="U14" s="17" t="s">
        <v>88</v>
      </c>
      <c r="V14" s="17"/>
      <c r="W14" s="28"/>
      <c r="X14" s="28"/>
      <c r="Y14" s="28"/>
      <c r="Z14" s="28"/>
      <c r="AA14" s="28"/>
      <c r="AB14" s="28"/>
      <c r="AC14" s="19"/>
      <c r="AE14" s="17" t="s">
        <v>88</v>
      </c>
      <c r="AF14" s="17"/>
      <c r="AG14" s="28"/>
      <c r="AH14" s="28"/>
      <c r="AI14" s="28"/>
      <c r="AJ14" s="28"/>
      <c r="AK14" s="28"/>
      <c r="AL14" s="28"/>
      <c r="AM14" s="19"/>
    </row>
    <row r="15" spans="1:39" ht="11.1" customHeight="1">
      <c r="A15" s="29">
        <f>I6*(100%-C10)</f>
        <v>0</v>
      </c>
      <c r="B15" s="30" t="s">
        <v>36</v>
      </c>
      <c r="C15" s="31">
        <f>Assumptions!$B$22</f>
        <v>61</v>
      </c>
      <c r="D15" s="32" t="s">
        <v>5</v>
      </c>
      <c r="E15" s="18">
        <f>Assumptions!$C$32</f>
        <v>1950</v>
      </c>
      <c r="F15" s="32" t="s">
        <v>6</v>
      </c>
      <c r="G15" s="28"/>
      <c r="H15" s="28"/>
      <c r="I15" s="33">
        <f>A15*C15*E15</f>
        <v>0</v>
      </c>
      <c r="K15" s="29">
        <f>S6*(100%-M10)</f>
        <v>0</v>
      </c>
      <c r="L15" s="30" t="s">
        <v>36</v>
      </c>
      <c r="M15" s="31">
        <f>Assumptions!$B$22</f>
        <v>61</v>
      </c>
      <c r="N15" s="32" t="s">
        <v>5</v>
      </c>
      <c r="O15" s="18">
        <f>Assumptions!$C$33</f>
        <v>1950</v>
      </c>
      <c r="P15" s="32" t="s">
        <v>6</v>
      </c>
      <c r="Q15" s="28"/>
      <c r="R15" s="28"/>
      <c r="S15" s="33">
        <f>K15*M15*O15</f>
        <v>0</v>
      </c>
      <c r="U15" s="29">
        <f>AC6*(100%-W10)</f>
        <v>0</v>
      </c>
      <c r="V15" s="30" t="s">
        <v>36</v>
      </c>
      <c r="W15" s="31">
        <f>Assumptions!$B$22</f>
        <v>61</v>
      </c>
      <c r="X15" s="32" t="s">
        <v>5</v>
      </c>
      <c r="Y15" s="18">
        <f>Assumptions!$C$34</f>
        <v>1950</v>
      </c>
      <c r="Z15" s="32" t="s">
        <v>6</v>
      </c>
      <c r="AA15" s="28"/>
      <c r="AB15" s="28"/>
      <c r="AC15" s="33">
        <f>U15*W15*Y15</f>
        <v>0</v>
      </c>
      <c r="AE15" s="29">
        <f>AM6*(100%-AG10)</f>
        <v>0</v>
      </c>
      <c r="AF15" s="30" t="s">
        <v>36</v>
      </c>
      <c r="AG15" s="31">
        <f>Assumptions!$B$22</f>
        <v>61</v>
      </c>
      <c r="AH15" s="32" t="s">
        <v>5</v>
      </c>
      <c r="AI15" s="18">
        <f>Assumptions!$C$35</f>
        <v>2050</v>
      </c>
      <c r="AJ15" s="32" t="s">
        <v>6</v>
      </c>
      <c r="AK15" s="28"/>
      <c r="AL15" s="28"/>
      <c r="AM15" s="33">
        <f>AE15*AG15*AI15</f>
        <v>0</v>
      </c>
    </row>
    <row r="16" spans="1:39" ht="11.1" customHeight="1">
      <c r="A16" s="29">
        <f>I7*(100%-C10)</f>
        <v>45</v>
      </c>
      <c r="B16" s="30" t="s">
        <v>37</v>
      </c>
      <c r="C16" s="31">
        <f>Assumptions!$B$23</f>
        <v>75</v>
      </c>
      <c r="D16" s="32" t="s">
        <v>5</v>
      </c>
      <c r="E16" s="18">
        <f>Assumptions!$D$32</f>
        <v>1950</v>
      </c>
      <c r="F16" s="32" t="s">
        <v>6</v>
      </c>
      <c r="G16" s="28"/>
      <c r="H16" s="28"/>
      <c r="I16" s="33">
        <f>A16*C16*E16</f>
        <v>6581250</v>
      </c>
      <c r="K16" s="29">
        <f>S7*(100%-M10)</f>
        <v>40</v>
      </c>
      <c r="L16" s="30" t="s">
        <v>37</v>
      </c>
      <c r="M16" s="31">
        <f>Assumptions!$B$23</f>
        <v>75</v>
      </c>
      <c r="N16" s="32" t="s">
        <v>5</v>
      </c>
      <c r="O16" s="18">
        <f>Assumptions!$D$33</f>
        <v>1950</v>
      </c>
      <c r="P16" s="32" t="s">
        <v>6</v>
      </c>
      <c r="Q16" s="28"/>
      <c r="R16" s="28"/>
      <c r="S16" s="33">
        <f>K16*M16*O16</f>
        <v>5850000</v>
      </c>
      <c r="U16" s="29">
        <f>AC7*(100%-W10)</f>
        <v>35</v>
      </c>
      <c r="V16" s="30" t="s">
        <v>37</v>
      </c>
      <c r="W16" s="31">
        <f>Assumptions!$B$23</f>
        <v>75</v>
      </c>
      <c r="X16" s="32" t="s">
        <v>5</v>
      </c>
      <c r="Y16" s="18">
        <f>Assumptions!$D$34</f>
        <v>1950</v>
      </c>
      <c r="Z16" s="32" t="s">
        <v>6</v>
      </c>
      <c r="AA16" s="28"/>
      <c r="AB16" s="28"/>
      <c r="AC16" s="33">
        <f>U16*W16*Y16</f>
        <v>5118750</v>
      </c>
      <c r="AE16" s="29">
        <f>AM7*(100%-AG10)</f>
        <v>30</v>
      </c>
      <c r="AF16" s="30" t="s">
        <v>37</v>
      </c>
      <c r="AG16" s="31">
        <f>Assumptions!$B$23</f>
        <v>75</v>
      </c>
      <c r="AH16" s="32" t="s">
        <v>5</v>
      </c>
      <c r="AI16" s="18">
        <f>Assumptions!$D$35</f>
        <v>2050</v>
      </c>
      <c r="AJ16" s="32" t="s">
        <v>6</v>
      </c>
      <c r="AK16" s="28"/>
      <c r="AL16" s="28"/>
      <c r="AM16" s="33">
        <f>AE16*AG16*AI16</f>
        <v>4612500</v>
      </c>
    </row>
    <row r="17" spans="1:39" ht="11.1" customHeight="1">
      <c r="A17" s="29">
        <f>I8*(100%-C10)</f>
        <v>112.5</v>
      </c>
      <c r="B17" s="30" t="s">
        <v>38</v>
      </c>
      <c r="C17" s="31">
        <f>Assumptions!$B$24</f>
        <v>88</v>
      </c>
      <c r="D17" s="32" t="s">
        <v>5</v>
      </c>
      <c r="E17" s="18">
        <f>Assumptions!$E$32</f>
        <v>1950</v>
      </c>
      <c r="F17" s="32" t="s">
        <v>6</v>
      </c>
      <c r="G17" s="28"/>
      <c r="H17" s="28"/>
      <c r="I17" s="33">
        <f>A17*C17*E17</f>
        <v>19305000</v>
      </c>
      <c r="K17" s="29">
        <f>S8*(100%-M10)</f>
        <v>100</v>
      </c>
      <c r="L17" s="30" t="s">
        <v>38</v>
      </c>
      <c r="M17" s="31">
        <f>Assumptions!$B$24</f>
        <v>88</v>
      </c>
      <c r="N17" s="32" t="s">
        <v>5</v>
      </c>
      <c r="O17" s="18">
        <f>Assumptions!$E$33</f>
        <v>1950</v>
      </c>
      <c r="P17" s="32" t="s">
        <v>6</v>
      </c>
      <c r="Q17" s="28"/>
      <c r="R17" s="28"/>
      <c r="S17" s="33">
        <f>K17*M17*O17</f>
        <v>17160000</v>
      </c>
      <c r="U17" s="29">
        <f>AC8*(100%-W10)</f>
        <v>87.5</v>
      </c>
      <c r="V17" s="30" t="s">
        <v>38</v>
      </c>
      <c r="W17" s="31">
        <f>Assumptions!$B$24</f>
        <v>88</v>
      </c>
      <c r="X17" s="32" t="s">
        <v>5</v>
      </c>
      <c r="Y17" s="18">
        <f>Assumptions!$E$34</f>
        <v>1950</v>
      </c>
      <c r="Z17" s="32" t="s">
        <v>6</v>
      </c>
      <c r="AA17" s="28"/>
      <c r="AB17" s="28"/>
      <c r="AC17" s="33">
        <f>U17*W17*Y17</f>
        <v>15015000</v>
      </c>
      <c r="AE17" s="29">
        <f>AM8*(100%-AG10)</f>
        <v>75</v>
      </c>
      <c r="AF17" s="30" t="s">
        <v>38</v>
      </c>
      <c r="AG17" s="31">
        <f>Assumptions!$B$24</f>
        <v>88</v>
      </c>
      <c r="AH17" s="32" t="s">
        <v>5</v>
      </c>
      <c r="AI17" s="18">
        <f>Assumptions!$E$35</f>
        <v>2050</v>
      </c>
      <c r="AJ17" s="32" t="s">
        <v>6</v>
      </c>
      <c r="AK17" s="28"/>
      <c r="AL17" s="28"/>
      <c r="AM17" s="33">
        <f>AE17*AG17*AI17</f>
        <v>13530000</v>
      </c>
    </row>
    <row r="18" spans="1:39" ht="11.1" customHeight="1">
      <c r="A18" s="29">
        <f>I9*(100%-C10)</f>
        <v>67.5</v>
      </c>
      <c r="B18" s="30" t="s">
        <v>39</v>
      </c>
      <c r="C18" s="31">
        <f>Assumptions!$B$25</f>
        <v>120</v>
      </c>
      <c r="D18" s="32" t="s">
        <v>5</v>
      </c>
      <c r="E18" s="18">
        <f>Assumptions!$F$32</f>
        <v>1950</v>
      </c>
      <c r="F18" s="32" t="s">
        <v>6</v>
      </c>
      <c r="G18" s="28"/>
      <c r="H18" s="28"/>
      <c r="I18" s="33">
        <f>A18*C18*E18</f>
        <v>15795000</v>
      </c>
      <c r="K18" s="29">
        <f>S9*(100%-M10)</f>
        <v>60</v>
      </c>
      <c r="L18" s="30" t="s">
        <v>39</v>
      </c>
      <c r="M18" s="31">
        <f>Assumptions!$B$25</f>
        <v>120</v>
      </c>
      <c r="N18" s="32" t="s">
        <v>5</v>
      </c>
      <c r="O18" s="18">
        <f>Assumptions!$F$33</f>
        <v>1950</v>
      </c>
      <c r="P18" s="32" t="s">
        <v>6</v>
      </c>
      <c r="Q18" s="28"/>
      <c r="R18" s="28"/>
      <c r="S18" s="33">
        <f>K18*M18*O18</f>
        <v>14040000</v>
      </c>
      <c r="U18" s="29">
        <f>AC9*(100%-W10)</f>
        <v>52.5</v>
      </c>
      <c r="V18" s="30" t="s">
        <v>39</v>
      </c>
      <c r="W18" s="31">
        <f>Assumptions!$B$25</f>
        <v>120</v>
      </c>
      <c r="X18" s="32" t="s">
        <v>5</v>
      </c>
      <c r="Y18" s="18">
        <f>Assumptions!$F$34</f>
        <v>1950</v>
      </c>
      <c r="Z18" s="32" t="s">
        <v>6</v>
      </c>
      <c r="AA18" s="28"/>
      <c r="AB18" s="28"/>
      <c r="AC18" s="33">
        <f>U18*W18*Y18</f>
        <v>12285000</v>
      </c>
      <c r="AE18" s="29">
        <f>AM9*(100%-AG10)</f>
        <v>45</v>
      </c>
      <c r="AF18" s="30" t="s">
        <v>39</v>
      </c>
      <c r="AG18" s="31">
        <f>Assumptions!$B$25</f>
        <v>120</v>
      </c>
      <c r="AH18" s="32" t="s">
        <v>5</v>
      </c>
      <c r="AI18" s="18">
        <f>Assumptions!$F$35</f>
        <v>2050</v>
      </c>
      <c r="AJ18" s="32" t="s">
        <v>6</v>
      </c>
      <c r="AK18" s="28"/>
      <c r="AL18" s="28"/>
      <c r="AM18" s="33">
        <f>AE18*AG18*AI18</f>
        <v>11070000</v>
      </c>
    </row>
    <row r="19" spans="1:39" ht="11.1" customHeight="1">
      <c r="A19" s="29">
        <f>I10*(100%-C10)</f>
        <v>45</v>
      </c>
      <c r="B19" s="30" t="s">
        <v>40</v>
      </c>
      <c r="C19" s="31">
        <f>Assumptions!$B$26</f>
        <v>150</v>
      </c>
      <c r="D19" s="32" t="s">
        <v>5</v>
      </c>
      <c r="E19" s="18">
        <f>Assumptions!G32</f>
        <v>1950</v>
      </c>
      <c r="F19" s="32" t="s">
        <v>6</v>
      </c>
      <c r="G19" s="28"/>
      <c r="H19" s="28"/>
      <c r="I19" s="33">
        <f>A19*C19*E19</f>
        <v>13162500</v>
      </c>
      <c r="K19" s="29">
        <f>S10*(100%-M10)</f>
        <v>40</v>
      </c>
      <c r="L19" s="30" t="s">
        <v>40</v>
      </c>
      <c r="M19" s="31">
        <f>Assumptions!$B$26</f>
        <v>150</v>
      </c>
      <c r="N19" s="32" t="s">
        <v>5</v>
      </c>
      <c r="O19" s="18">
        <f>Assumptions!$G$33</f>
        <v>1950</v>
      </c>
      <c r="P19" s="32" t="s">
        <v>6</v>
      </c>
      <c r="Q19" s="28"/>
      <c r="R19" s="28"/>
      <c r="S19" s="33">
        <f>K19*M19*O19</f>
        <v>11700000</v>
      </c>
      <c r="U19" s="29">
        <f>AC10*(100%-W10)</f>
        <v>35</v>
      </c>
      <c r="V19" s="30" t="s">
        <v>40</v>
      </c>
      <c r="W19" s="31">
        <f>Assumptions!$B$26</f>
        <v>150</v>
      </c>
      <c r="X19" s="32" t="s">
        <v>5</v>
      </c>
      <c r="Y19" s="18">
        <f>Assumptions!$G$34</f>
        <v>1950</v>
      </c>
      <c r="Z19" s="32" t="s">
        <v>6</v>
      </c>
      <c r="AA19" s="28"/>
      <c r="AB19" s="28"/>
      <c r="AC19" s="33">
        <f>U19*W19*Y19</f>
        <v>10237500</v>
      </c>
      <c r="AE19" s="29">
        <f>AM10*(100%-AG10)</f>
        <v>30</v>
      </c>
      <c r="AF19" s="30" t="s">
        <v>40</v>
      </c>
      <c r="AG19" s="31">
        <f>Assumptions!$B$26</f>
        <v>150</v>
      </c>
      <c r="AH19" s="32" t="s">
        <v>5</v>
      </c>
      <c r="AI19" s="18">
        <f>Assumptions!$G$35</f>
        <v>2050</v>
      </c>
      <c r="AJ19" s="32" t="s">
        <v>6</v>
      </c>
      <c r="AK19" s="28"/>
      <c r="AL19" s="28"/>
      <c r="AM19" s="33">
        <f>AE19*AG19*AI19</f>
        <v>9225000</v>
      </c>
    </row>
    <row r="20" spans="1:39" ht="11.1" customHeight="1">
      <c r="A20" s="26"/>
      <c r="B20" s="26"/>
      <c r="C20" s="26"/>
      <c r="D20" s="34"/>
      <c r="E20" s="26"/>
      <c r="F20" s="34"/>
      <c r="G20" s="26"/>
      <c r="H20" s="26"/>
      <c r="I20" s="35"/>
      <c r="K20" s="26"/>
      <c r="L20" s="26"/>
      <c r="M20" s="26"/>
      <c r="N20" s="34"/>
      <c r="O20" s="26"/>
      <c r="P20" s="34"/>
      <c r="Q20" s="26"/>
      <c r="R20" s="26"/>
      <c r="S20" s="35"/>
      <c r="U20" s="26"/>
      <c r="V20" s="26"/>
      <c r="W20" s="26"/>
      <c r="X20" s="34"/>
      <c r="Y20" s="26"/>
      <c r="Z20" s="34"/>
      <c r="AA20" s="26"/>
      <c r="AB20" s="26"/>
      <c r="AC20" s="35"/>
      <c r="AE20" s="26"/>
      <c r="AF20" s="26"/>
      <c r="AG20" s="26"/>
      <c r="AH20" s="34"/>
      <c r="AI20" s="26"/>
      <c r="AJ20" s="34"/>
      <c r="AK20" s="26"/>
      <c r="AL20" s="26"/>
      <c r="AM20" s="35"/>
    </row>
    <row r="21" spans="1:39" ht="11.1" customHeight="1">
      <c r="A21" s="17" t="str">
        <f>Assumptions!$D$12</f>
        <v>Neutral Tenure</v>
      </c>
      <c r="B21" s="17"/>
      <c r="E21" s="28"/>
      <c r="F21" s="32"/>
      <c r="G21" s="28"/>
      <c r="H21" s="28"/>
      <c r="I21" s="36"/>
      <c r="K21" s="17" t="str">
        <f>Assumptions!$D$12</f>
        <v>Neutral Tenure</v>
      </c>
      <c r="L21" s="17"/>
      <c r="M21"/>
      <c r="N21"/>
      <c r="O21" s="28"/>
      <c r="P21" s="32"/>
      <c r="Q21" s="28"/>
      <c r="R21" s="28"/>
      <c r="S21" s="36"/>
      <c r="U21" s="17" t="str">
        <f>Assumptions!$D$12</f>
        <v>Neutral Tenure</v>
      </c>
      <c r="V21" s="17"/>
      <c r="W21"/>
      <c r="X21"/>
      <c r="Y21" s="28"/>
      <c r="Z21" s="32"/>
      <c r="AA21" s="28"/>
      <c r="AB21" s="28"/>
      <c r="AC21" s="36"/>
      <c r="AE21" s="17" t="str">
        <f>Assumptions!$D$12</f>
        <v>Neutral Tenure</v>
      </c>
      <c r="AF21" s="17"/>
      <c r="AG21"/>
      <c r="AH21"/>
      <c r="AI21" s="28"/>
      <c r="AJ21" s="32"/>
      <c r="AK21" s="28"/>
      <c r="AL21" s="28"/>
      <c r="AM21" s="36"/>
    </row>
    <row r="22" spans="1:39" ht="11.1" customHeight="1">
      <c r="A22" s="29">
        <f>D10*C11*Assumptions!$H$13</f>
        <v>0</v>
      </c>
      <c r="B22" s="30" t="s">
        <v>36</v>
      </c>
      <c r="C22" s="37">
        <f>Assumptions!$E$24</f>
        <v>65</v>
      </c>
      <c r="D22" s="32" t="s">
        <v>7</v>
      </c>
      <c r="E22" s="28">
        <f>Assumptions!$C$37</f>
        <v>921</v>
      </c>
      <c r="F22" s="32" t="s">
        <v>6</v>
      </c>
      <c r="G22" s="28"/>
      <c r="H22" s="28"/>
      <c r="I22" s="33">
        <f>A22*C22*E22</f>
        <v>0</v>
      </c>
      <c r="K22" s="29">
        <f>N10*M11*Assumptions!$H$13</f>
        <v>0</v>
      </c>
      <c r="L22" s="30" t="s">
        <v>36</v>
      </c>
      <c r="M22" s="37">
        <f>Assumptions!$E$24</f>
        <v>65</v>
      </c>
      <c r="N22" s="32" t="s">
        <v>7</v>
      </c>
      <c r="O22" s="28">
        <f>Assumptions!$C$38</f>
        <v>925</v>
      </c>
      <c r="P22" s="32" t="s">
        <v>6</v>
      </c>
      <c r="Q22" s="28"/>
      <c r="R22" s="28"/>
      <c r="S22" s="33">
        <f>K22*M22*O22</f>
        <v>0</v>
      </c>
      <c r="U22" s="29">
        <f>X10*W11*Assumptions!$H$13</f>
        <v>0</v>
      </c>
      <c r="V22" s="30" t="s">
        <v>36</v>
      </c>
      <c r="W22" s="37">
        <f>Assumptions!$E$24</f>
        <v>65</v>
      </c>
      <c r="X22" s="32" t="s">
        <v>7</v>
      </c>
      <c r="Y22" s="28">
        <f>Assumptions!$C$39</f>
        <v>948</v>
      </c>
      <c r="Z22" s="32" t="s">
        <v>6</v>
      </c>
      <c r="AA22" s="28"/>
      <c r="AB22" s="28"/>
      <c r="AC22" s="33">
        <f>U22*W22*Y22</f>
        <v>0</v>
      </c>
      <c r="AE22" s="29">
        <f>AH10*AG11*Assumptions!$H$13</f>
        <v>0</v>
      </c>
      <c r="AF22" s="30" t="s">
        <v>36</v>
      </c>
      <c r="AG22" s="37">
        <f>Assumptions!$E$24</f>
        <v>65</v>
      </c>
      <c r="AH22" s="32" t="s">
        <v>7</v>
      </c>
      <c r="AI22" s="28">
        <f>Assumptions!$C$40</f>
        <v>1027</v>
      </c>
      <c r="AJ22" s="32" t="s">
        <v>6</v>
      </c>
      <c r="AK22" s="28"/>
      <c r="AL22" s="28"/>
      <c r="AM22" s="33">
        <f>AE22*AG22*AI22</f>
        <v>0</v>
      </c>
    </row>
    <row r="23" spans="1:39" ht="11.1" customHeight="1">
      <c r="A23" s="29">
        <f>D10*C11*Assumptions!$H$14</f>
        <v>21</v>
      </c>
      <c r="B23" s="30" t="s">
        <v>90</v>
      </c>
      <c r="C23" s="37">
        <f>Assumptions!$E$25</f>
        <v>83</v>
      </c>
      <c r="D23" s="32" t="s">
        <v>7</v>
      </c>
      <c r="E23" s="28">
        <f>Assumptions!$D$37</f>
        <v>891</v>
      </c>
      <c r="F23" s="32" t="s">
        <v>6</v>
      </c>
      <c r="G23" s="28"/>
      <c r="H23" s="28"/>
      <c r="I23" s="33">
        <f>A23*C23*E23</f>
        <v>1553013</v>
      </c>
      <c r="K23" s="29">
        <f>N10*M11*Assumptions!$H$14</f>
        <v>42</v>
      </c>
      <c r="L23" s="30" t="s">
        <v>90</v>
      </c>
      <c r="M23" s="37">
        <f>Assumptions!$E$25</f>
        <v>83</v>
      </c>
      <c r="N23" s="32" t="s">
        <v>7</v>
      </c>
      <c r="O23" s="28">
        <f>Assumptions!$D$38</f>
        <v>898</v>
      </c>
      <c r="P23" s="32" t="s">
        <v>6</v>
      </c>
      <c r="Q23" s="28"/>
      <c r="R23" s="28"/>
      <c r="S23" s="33">
        <f>K23*M23*O23</f>
        <v>3130428</v>
      </c>
      <c r="U23" s="29">
        <f>X10*W11*Assumptions!$H$14</f>
        <v>62.999999999999993</v>
      </c>
      <c r="V23" s="30" t="s">
        <v>90</v>
      </c>
      <c r="W23" s="37">
        <f>Assumptions!$E$25</f>
        <v>83</v>
      </c>
      <c r="X23" s="32" t="s">
        <v>7</v>
      </c>
      <c r="Y23" s="28">
        <f>Assumptions!$D$39</f>
        <v>932</v>
      </c>
      <c r="Z23" s="32" t="s">
        <v>6</v>
      </c>
      <c r="AA23" s="28"/>
      <c r="AB23" s="28"/>
      <c r="AC23" s="33">
        <f>U23*W23*Y23</f>
        <v>4873427.9999999991</v>
      </c>
      <c r="AE23" s="29">
        <f>AH10*AG11*Assumptions!$H$14</f>
        <v>84</v>
      </c>
      <c r="AF23" s="30" t="s">
        <v>90</v>
      </c>
      <c r="AG23" s="37">
        <f>Assumptions!$E$25</f>
        <v>83</v>
      </c>
      <c r="AH23" s="32" t="s">
        <v>7</v>
      </c>
      <c r="AI23" s="28">
        <f>Assumptions!$D$40</f>
        <v>1057</v>
      </c>
      <c r="AJ23" s="32" t="s">
        <v>6</v>
      </c>
      <c r="AK23" s="28"/>
      <c r="AL23" s="28"/>
      <c r="AM23" s="33">
        <f>AE23*AG23*AI23</f>
        <v>7369404</v>
      </c>
    </row>
    <row r="24" spans="1:39" ht="11.1" customHeight="1">
      <c r="A24" s="29">
        <f>D10*C11*Assumptions!$H$15</f>
        <v>9</v>
      </c>
      <c r="B24" s="30" t="s">
        <v>91</v>
      </c>
      <c r="C24" s="37">
        <f>Assumptions!$E$26</f>
        <v>94</v>
      </c>
      <c r="D24" s="32" t="s">
        <v>7</v>
      </c>
      <c r="E24" s="28">
        <f>Assumptions!$E$37</f>
        <v>848</v>
      </c>
      <c r="F24" s="32" t="s">
        <v>6</v>
      </c>
      <c r="G24" s="28"/>
      <c r="H24" s="28"/>
      <c r="I24" s="33">
        <f>A24*C24*E24</f>
        <v>717408</v>
      </c>
      <c r="K24" s="29">
        <f>N10*M11*Assumptions!$H$15</f>
        <v>18</v>
      </c>
      <c r="L24" s="30" t="s">
        <v>91</v>
      </c>
      <c r="M24" s="37">
        <f>Assumptions!$E$26</f>
        <v>94</v>
      </c>
      <c r="N24" s="32" t="s">
        <v>7</v>
      </c>
      <c r="O24" s="28">
        <f>Assumptions!$E$38</f>
        <v>855</v>
      </c>
      <c r="P24" s="32" t="s">
        <v>6</v>
      </c>
      <c r="Q24" s="28"/>
      <c r="R24" s="28"/>
      <c r="S24" s="33">
        <f>K24*M24*O24</f>
        <v>1446660</v>
      </c>
      <c r="U24" s="29">
        <f>X10*W11*Assumptions!$H$15</f>
        <v>27</v>
      </c>
      <c r="V24" s="30" t="s">
        <v>91</v>
      </c>
      <c r="W24" s="37">
        <f>Assumptions!$E$26</f>
        <v>94</v>
      </c>
      <c r="X24" s="32" t="s">
        <v>7</v>
      </c>
      <c r="Y24" s="28">
        <f>Assumptions!$E$39</f>
        <v>886</v>
      </c>
      <c r="Z24" s="32" t="s">
        <v>6</v>
      </c>
      <c r="AA24" s="28"/>
      <c r="AB24" s="28"/>
      <c r="AC24" s="33">
        <f>U24*W24*Y24</f>
        <v>2248668</v>
      </c>
      <c r="AE24" s="29">
        <f>AH10*AG11*Assumptions!$H$15</f>
        <v>36</v>
      </c>
      <c r="AF24" s="30" t="s">
        <v>91</v>
      </c>
      <c r="AG24" s="37">
        <f>Assumptions!$E$26</f>
        <v>94</v>
      </c>
      <c r="AH24" s="32" t="s">
        <v>7</v>
      </c>
      <c r="AI24" s="28">
        <f>Assumptions!$E$40</f>
        <v>1001</v>
      </c>
      <c r="AJ24" s="32" t="s">
        <v>6</v>
      </c>
      <c r="AK24" s="28"/>
      <c r="AL24" s="28"/>
      <c r="AM24" s="33">
        <f>AE24*AG24*AI24</f>
        <v>3387384</v>
      </c>
    </row>
    <row r="25" spans="1:39" ht="11.1" customHeight="1">
      <c r="A25" s="38"/>
      <c r="B25" s="26"/>
      <c r="C25" s="39"/>
      <c r="D25" s="34"/>
      <c r="E25" s="26"/>
      <c r="F25" s="34"/>
      <c r="G25" s="26"/>
      <c r="H25" s="26"/>
      <c r="I25" s="40"/>
      <c r="K25" s="38"/>
      <c r="L25" s="26"/>
      <c r="M25" s="39"/>
      <c r="N25" s="34"/>
      <c r="O25" s="26"/>
      <c r="P25" s="34"/>
      <c r="Q25" s="26"/>
      <c r="R25" s="26"/>
      <c r="S25" s="40"/>
      <c r="U25" s="38"/>
      <c r="V25" s="26"/>
      <c r="W25" s="39"/>
      <c r="X25" s="34"/>
      <c r="Y25" s="26"/>
      <c r="Z25" s="34"/>
      <c r="AA25" s="26"/>
      <c r="AB25" s="26"/>
      <c r="AC25" s="40"/>
      <c r="AE25" s="38"/>
      <c r="AF25" s="26"/>
      <c r="AG25" s="39"/>
      <c r="AH25" s="34"/>
      <c r="AI25" s="26"/>
      <c r="AJ25" s="34"/>
      <c r="AK25" s="26"/>
      <c r="AL25" s="26"/>
      <c r="AM25" s="40"/>
    </row>
    <row r="26" spans="1:39" ht="11.1" customHeight="1">
      <c r="A26" s="17" t="s">
        <v>92</v>
      </c>
      <c r="B26" s="17"/>
      <c r="C26" s="20">
        <f>Assumptions!$E$18</f>
        <v>0</v>
      </c>
      <c r="D26" s="32" t="s">
        <v>89</v>
      </c>
      <c r="E26" s="28"/>
      <c r="F26" s="32"/>
      <c r="G26" s="28"/>
      <c r="H26" s="28"/>
      <c r="I26" s="36"/>
      <c r="K26" s="17" t="s">
        <v>92</v>
      </c>
      <c r="L26" s="17"/>
      <c r="M26" s="20">
        <f>Assumptions!$E$18</f>
        <v>0</v>
      </c>
      <c r="N26" s="32" t="s">
        <v>89</v>
      </c>
      <c r="O26" s="28"/>
      <c r="P26" s="32"/>
      <c r="Q26" s="28"/>
      <c r="R26" s="28"/>
      <c r="S26" s="36"/>
      <c r="U26" s="17" t="s">
        <v>92</v>
      </c>
      <c r="V26" s="17"/>
      <c r="W26" s="20">
        <f>Assumptions!$E$18</f>
        <v>0</v>
      </c>
      <c r="X26" s="32" t="s">
        <v>89</v>
      </c>
      <c r="Y26" s="28"/>
      <c r="Z26" s="32"/>
      <c r="AA26" s="28"/>
      <c r="AB26" s="28"/>
      <c r="AC26" s="36"/>
      <c r="AE26" s="17" t="s">
        <v>92</v>
      </c>
      <c r="AF26" s="17"/>
      <c r="AG26" s="20">
        <f>Assumptions!$E$18</f>
        <v>0</v>
      </c>
      <c r="AH26" s="32" t="s">
        <v>89</v>
      </c>
      <c r="AI26" s="28"/>
      <c r="AJ26" s="32"/>
      <c r="AK26" s="28"/>
      <c r="AL26" s="28"/>
      <c r="AM26" s="36"/>
    </row>
    <row r="27" spans="1:39" ht="11.1" customHeight="1">
      <c r="A27" s="29">
        <f>D10*E11*0.3</f>
        <v>0</v>
      </c>
      <c r="B27" s="30" t="s">
        <v>36</v>
      </c>
      <c r="C27" s="37">
        <f>C15</f>
        <v>61</v>
      </c>
      <c r="D27" s="32" t="s">
        <v>93</v>
      </c>
      <c r="E27" s="28">
        <f>E15*C26</f>
        <v>0</v>
      </c>
      <c r="F27" s="32" t="s">
        <v>6</v>
      </c>
      <c r="G27" s="28"/>
      <c r="H27" s="28"/>
      <c r="I27" s="33">
        <f>A27*C27*E27</f>
        <v>0</v>
      </c>
      <c r="K27" s="29">
        <f>N10*O11*0.3</f>
        <v>0</v>
      </c>
      <c r="L27" s="30" t="s">
        <v>36</v>
      </c>
      <c r="M27" s="37">
        <f>M15</f>
        <v>61</v>
      </c>
      <c r="N27" s="32" t="s">
        <v>93</v>
      </c>
      <c r="O27" s="28">
        <f>O15*M26</f>
        <v>0</v>
      </c>
      <c r="P27" s="32" t="s">
        <v>6</v>
      </c>
      <c r="Q27" s="28"/>
      <c r="R27" s="28"/>
      <c r="S27" s="33">
        <f>K27*M27*O27</f>
        <v>0</v>
      </c>
      <c r="U27" s="29">
        <f>X10*Y11*0.3</f>
        <v>0</v>
      </c>
      <c r="V27" s="30" t="s">
        <v>36</v>
      </c>
      <c r="W27" s="37">
        <f>W15</f>
        <v>61</v>
      </c>
      <c r="X27" s="32" t="s">
        <v>93</v>
      </c>
      <c r="Y27" s="28">
        <f>Y15*W26</f>
        <v>0</v>
      </c>
      <c r="Z27" s="32" t="s">
        <v>6</v>
      </c>
      <c r="AA27" s="28"/>
      <c r="AB27" s="28"/>
      <c r="AC27" s="33">
        <f>U27*W27*Y27</f>
        <v>0</v>
      </c>
      <c r="AE27" s="29">
        <f>AH10*AI11*0.3</f>
        <v>0</v>
      </c>
      <c r="AF27" s="30" t="s">
        <v>36</v>
      </c>
      <c r="AG27" s="37">
        <f>AG15</f>
        <v>61</v>
      </c>
      <c r="AH27" s="32" t="s">
        <v>93</v>
      </c>
      <c r="AI27" s="28">
        <f>AI15*AG26</f>
        <v>0</v>
      </c>
      <c r="AJ27" s="32" t="s">
        <v>6</v>
      </c>
      <c r="AK27" s="28"/>
      <c r="AL27" s="28"/>
      <c r="AM27" s="33">
        <f>AE27*AG27*AI27</f>
        <v>0</v>
      </c>
    </row>
    <row r="28" spans="1:39" ht="11.1" customHeight="1">
      <c r="A28" s="29">
        <f>D10*E11*0.5</f>
        <v>0</v>
      </c>
      <c r="B28" s="30" t="s">
        <v>90</v>
      </c>
      <c r="C28" s="37">
        <f>C16</f>
        <v>75</v>
      </c>
      <c r="D28" s="32" t="s">
        <v>93</v>
      </c>
      <c r="E28" s="28">
        <f>E16*C26</f>
        <v>0</v>
      </c>
      <c r="F28" s="32" t="s">
        <v>6</v>
      </c>
      <c r="G28" s="28"/>
      <c r="H28" s="28"/>
      <c r="I28" s="33">
        <f>A28*C28*E28</f>
        <v>0</v>
      </c>
      <c r="K28" s="29">
        <f>N10*O11*0.5</f>
        <v>0</v>
      </c>
      <c r="L28" s="30" t="s">
        <v>90</v>
      </c>
      <c r="M28" s="37">
        <f>M16</f>
        <v>75</v>
      </c>
      <c r="N28" s="32" t="s">
        <v>93</v>
      </c>
      <c r="O28" s="28">
        <f>O16*M26</f>
        <v>0</v>
      </c>
      <c r="P28" s="32" t="s">
        <v>6</v>
      </c>
      <c r="Q28" s="28"/>
      <c r="R28" s="28"/>
      <c r="S28" s="33">
        <f>K28*M28*O28</f>
        <v>0</v>
      </c>
      <c r="U28" s="29">
        <f>X10*Y11*0.5</f>
        <v>0</v>
      </c>
      <c r="V28" s="30" t="s">
        <v>90</v>
      </c>
      <c r="W28" s="37">
        <f>W16</f>
        <v>75</v>
      </c>
      <c r="X28" s="32" t="s">
        <v>93</v>
      </c>
      <c r="Y28" s="28">
        <f>Y16*W26</f>
        <v>0</v>
      </c>
      <c r="Z28" s="32" t="s">
        <v>6</v>
      </c>
      <c r="AA28" s="28"/>
      <c r="AB28" s="28"/>
      <c r="AC28" s="33">
        <f>U28*W28*Y28</f>
        <v>0</v>
      </c>
      <c r="AE28" s="29">
        <f>AH10*AI11*0.5</f>
        <v>0</v>
      </c>
      <c r="AF28" s="30" t="s">
        <v>90</v>
      </c>
      <c r="AG28" s="37">
        <f>AG16</f>
        <v>75</v>
      </c>
      <c r="AH28" s="32" t="s">
        <v>93</v>
      </c>
      <c r="AI28" s="28">
        <f>AI16*AG26</f>
        <v>0</v>
      </c>
      <c r="AJ28" s="32" t="s">
        <v>6</v>
      </c>
      <c r="AK28" s="28"/>
      <c r="AL28" s="28"/>
      <c r="AM28" s="33">
        <f>AE28*AG28*AI28</f>
        <v>0</v>
      </c>
    </row>
    <row r="29" spans="1:39" ht="11.1" customHeight="1">
      <c r="A29" s="29">
        <f>D10*E11*0.2</f>
        <v>0</v>
      </c>
      <c r="B29" s="30" t="s">
        <v>91</v>
      </c>
      <c r="C29" s="37">
        <f>C17</f>
        <v>88</v>
      </c>
      <c r="D29" s="32" t="s">
        <v>93</v>
      </c>
      <c r="E29" s="28">
        <f>E17*C26</f>
        <v>0</v>
      </c>
      <c r="F29" s="32" t="s">
        <v>6</v>
      </c>
      <c r="G29" s="28"/>
      <c r="H29" s="28"/>
      <c r="I29" s="33">
        <f>A29*C29*E29</f>
        <v>0</v>
      </c>
      <c r="K29" s="29">
        <f>N10*O11*0.2</f>
        <v>0</v>
      </c>
      <c r="L29" s="30" t="s">
        <v>91</v>
      </c>
      <c r="M29" s="37">
        <f>M17</f>
        <v>88</v>
      </c>
      <c r="N29" s="32" t="s">
        <v>93</v>
      </c>
      <c r="O29" s="28">
        <f>O17*M26</f>
        <v>0</v>
      </c>
      <c r="P29" s="32" t="s">
        <v>6</v>
      </c>
      <c r="Q29" s="28"/>
      <c r="R29" s="28"/>
      <c r="S29" s="33">
        <f>K29*M29*O29</f>
        <v>0</v>
      </c>
      <c r="U29" s="29">
        <f>X10*Y11*0.2</f>
        <v>0</v>
      </c>
      <c r="V29" s="30" t="s">
        <v>91</v>
      </c>
      <c r="W29" s="37">
        <f>W17</f>
        <v>88</v>
      </c>
      <c r="X29" s="32" t="s">
        <v>93</v>
      </c>
      <c r="Y29" s="28">
        <f>Y17*W26</f>
        <v>0</v>
      </c>
      <c r="Z29" s="32" t="s">
        <v>6</v>
      </c>
      <c r="AA29" s="28"/>
      <c r="AB29" s="28"/>
      <c r="AC29" s="33">
        <f>U29*W29*Y29</f>
        <v>0</v>
      </c>
      <c r="AE29" s="29">
        <f>AH10*AI11*0.2</f>
        <v>0</v>
      </c>
      <c r="AF29" s="30" t="s">
        <v>91</v>
      </c>
      <c r="AG29" s="37">
        <f>AG17</f>
        <v>88</v>
      </c>
      <c r="AH29" s="32" t="s">
        <v>93</v>
      </c>
      <c r="AI29" s="28">
        <f>AI17*AG26</f>
        <v>0</v>
      </c>
      <c r="AJ29" s="32" t="s">
        <v>6</v>
      </c>
      <c r="AK29" s="28"/>
      <c r="AL29" s="28"/>
      <c r="AM29" s="33">
        <f>AE29*AG29*AI29</f>
        <v>0</v>
      </c>
    </row>
    <row r="30" spans="1:39" ht="11.1" customHeight="1">
      <c r="A30" s="38"/>
      <c r="B30" s="26"/>
      <c r="C30" s="39"/>
      <c r="D30" s="34"/>
      <c r="E30" s="26"/>
      <c r="F30" s="34"/>
      <c r="G30" s="26"/>
      <c r="H30" s="26"/>
      <c r="I30" s="40"/>
      <c r="K30" s="38"/>
      <c r="L30" s="26"/>
      <c r="M30" s="39"/>
      <c r="N30" s="34"/>
      <c r="O30" s="26"/>
      <c r="P30" s="34"/>
      <c r="Q30" s="26"/>
      <c r="R30" s="26"/>
      <c r="S30" s="40"/>
      <c r="U30" s="38"/>
      <c r="V30" s="26"/>
      <c r="W30" s="39"/>
      <c r="X30" s="34"/>
      <c r="Y30" s="26"/>
      <c r="Z30" s="34"/>
      <c r="AA30" s="26"/>
      <c r="AB30" s="26"/>
      <c r="AC30" s="40"/>
      <c r="AE30" s="38"/>
      <c r="AF30" s="26"/>
      <c r="AG30" s="39"/>
      <c r="AH30" s="34"/>
      <c r="AI30" s="26"/>
      <c r="AJ30" s="34"/>
      <c r="AK30" s="26"/>
      <c r="AL30" s="26"/>
      <c r="AM30" s="40"/>
    </row>
    <row r="31" spans="1:39" ht="11.1" customHeight="1">
      <c r="A31" s="17" t="s">
        <v>94</v>
      </c>
      <c r="B31" s="17"/>
      <c r="C31" s="20">
        <f>Assumptions!$F$18</f>
        <v>0</v>
      </c>
      <c r="D31" s="32" t="s">
        <v>89</v>
      </c>
      <c r="E31" s="28"/>
      <c r="F31" s="32"/>
      <c r="G31" s="28"/>
      <c r="H31" s="28"/>
      <c r="I31" s="36"/>
      <c r="K31" s="17" t="s">
        <v>94</v>
      </c>
      <c r="L31" s="17"/>
      <c r="M31" s="20">
        <f>Assumptions!$F$18</f>
        <v>0</v>
      </c>
      <c r="N31" s="32" t="s">
        <v>89</v>
      </c>
      <c r="O31" s="28"/>
      <c r="P31" s="32"/>
      <c r="Q31" s="28"/>
      <c r="R31" s="28"/>
      <c r="S31" s="36"/>
      <c r="U31" s="17" t="s">
        <v>94</v>
      </c>
      <c r="V31" s="17"/>
      <c r="W31" s="20">
        <f>Assumptions!$F$18</f>
        <v>0</v>
      </c>
      <c r="X31" s="32" t="s">
        <v>89</v>
      </c>
      <c r="Y31" s="28"/>
      <c r="Z31" s="32"/>
      <c r="AA31" s="28"/>
      <c r="AB31" s="28"/>
      <c r="AC31" s="36"/>
      <c r="AE31" s="17" t="s">
        <v>94</v>
      </c>
      <c r="AF31" s="17"/>
      <c r="AG31" s="20">
        <f>Assumptions!$F$18</f>
        <v>0</v>
      </c>
      <c r="AH31" s="32" t="s">
        <v>89</v>
      </c>
      <c r="AI31" s="28"/>
      <c r="AJ31" s="32"/>
      <c r="AK31" s="28"/>
      <c r="AL31" s="28"/>
      <c r="AM31" s="36"/>
    </row>
    <row r="32" spans="1:39" ht="11.1" customHeight="1">
      <c r="A32" s="29">
        <f>D10*G11*0.3</f>
        <v>0</v>
      </c>
      <c r="B32" s="30" t="s">
        <v>36</v>
      </c>
      <c r="C32" s="37">
        <f>C15</f>
        <v>61</v>
      </c>
      <c r="D32" s="32" t="s">
        <v>93</v>
      </c>
      <c r="E32" s="28">
        <f>E15*C31</f>
        <v>0</v>
      </c>
      <c r="F32" s="32" t="s">
        <v>6</v>
      </c>
      <c r="G32" s="28"/>
      <c r="H32" s="28"/>
      <c r="I32" s="33">
        <f>A32*C32*E32</f>
        <v>0</v>
      </c>
      <c r="K32" s="29">
        <f>N10*Q11*0.3</f>
        <v>0</v>
      </c>
      <c r="L32" s="30" t="s">
        <v>36</v>
      </c>
      <c r="M32" s="37">
        <f>M15</f>
        <v>61</v>
      </c>
      <c r="N32" s="32" t="s">
        <v>93</v>
      </c>
      <c r="O32" s="28">
        <f>O15*M31</f>
        <v>0</v>
      </c>
      <c r="P32" s="32" t="s">
        <v>6</v>
      </c>
      <c r="Q32" s="28"/>
      <c r="R32" s="28"/>
      <c r="S32" s="33">
        <f>K32*M32*O32</f>
        <v>0</v>
      </c>
      <c r="U32" s="29">
        <f>X10*AA11*0.3</f>
        <v>0</v>
      </c>
      <c r="V32" s="30" t="s">
        <v>36</v>
      </c>
      <c r="W32" s="37">
        <f>W15</f>
        <v>61</v>
      </c>
      <c r="X32" s="32" t="s">
        <v>93</v>
      </c>
      <c r="Y32" s="28">
        <f>Y15*W31</f>
        <v>0</v>
      </c>
      <c r="Z32" s="32" t="s">
        <v>6</v>
      </c>
      <c r="AA32" s="28"/>
      <c r="AB32" s="28"/>
      <c r="AC32" s="33">
        <f>U32*W32*Y32</f>
        <v>0</v>
      </c>
      <c r="AE32" s="29">
        <f>AH10*AK11*0.3</f>
        <v>0</v>
      </c>
      <c r="AF32" s="30" t="s">
        <v>36</v>
      </c>
      <c r="AG32" s="37">
        <f>AG15</f>
        <v>61</v>
      </c>
      <c r="AH32" s="32" t="s">
        <v>93</v>
      </c>
      <c r="AI32" s="28">
        <f>AI15*AG31</f>
        <v>0</v>
      </c>
      <c r="AJ32" s="32" t="s">
        <v>6</v>
      </c>
      <c r="AK32" s="28"/>
      <c r="AL32" s="28"/>
      <c r="AM32" s="33">
        <f>AE32*AG32*AI32</f>
        <v>0</v>
      </c>
    </row>
    <row r="33" spans="1:39" ht="11.1" customHeight="1">
      <c r="A33" s="29">
        <f>D10*G11*0.5</f>
        <v>0</v>
      </c>
      <c r="B33" s="30" t="s">
        <v>90</v>
      </c>
      <c r="C33" s="37">
        <f>C16</f>
        <v>75</v>
      </c>
      <c r="D33" s="32" t="s">
        <v>93</v>
      </c>
      <c r="E33" s="28">
        <f>E16*C31</f>
        <v>0</v>
      </c>
      <c r="F33" s="32" t="s">
        <v>6</v>
      </c>
      <c r="G33" s="28"/>
      <c r="H33" s="28"/>
      <c r="I33" s="33">
        <f>A33*C33*E33</f>
        <v>0</v>
      </c>
      <c r="K33" s="29">
        <f>N10*Q11*0.5</f>
        <v>0</v>
      </c>
      <c r="L33" s="30" t="s">
        <v>90</v>
      </c>
      <c r="M33" s="37">
        <f>M16</f>
        <v>75</v>
      </c>
      <c r="N33" s="32" t="s">
        <v>93</v>
      </c>
      <c r="O33" s="28">
        <f>O16*M31</f>
        <v>0</v>
      </c>
      <c r="P33" s="32" t="s">
        <v>6</v>
      </c>
      <c r="Q33" s="28"/>
      <c r="R33" s="28"/>
      <c r="S33" s="33">
        <f>K33*M33*O33</f>
        <v>0</v>
      </c>
      <c r="U33" s="29">
        <f>X10*AA11*0.5</f>
        <v>0</v>
      </c>
      <c r="V33" s="30" t="s">
        <v>90</v>
      </c>
      <c r="W33" s="37">
        <f>W16</f>
        <v>75</v>
      </c>
      <c r="X33" s="32" t="s">
        <v>93</v>
      </c>
      <c r="Y33" s="28">
        <f>Y16*W31</f>
        <v>0</v>
      </c>
      <c r="Z33" s="32" t="s">
        <v>6</v>
      </c>
      <c r="AA33" s="28"/>
      <c r="AB33" s="28"/>
      <c r="AC33" s="33">
        <f>U33*W33*Y33</f>
        <v>0</v>
      </c>
      <c r="AE33" s="29">
        <f>AH10*AK11*0.5</f>
        <v>0</v>
      </c>
      <c r="AF33" s="30" t="s">
        <v>90</v>
      </c>
      <c r="AG33" s="37">
        <f>AG16</f>
        <v>75</v>
      </c>
      <c r="AH33" s="32" t="s">
        <v>93</v>
      </c>
      <c r="AI33" s="28">
        <f>AI16*AG31</f>
        <v>0</v>
      </c>
      <c r="AJ33" s="32" t="s">
        <v>6</v>
      </c>
      <c r="AK33" s="28"/>
      <c r="AL33" s="28"/>
      <c r="AM33" s="33">
        <f>AE33*AG33*AI33</f>
        <v>0</v>
      </c>
    </row>
    <row r="34" spans="1:39" ht="11.1" customHeight="1">
      <c r="A34" s="29">
        <f>D10*G11*0.2</f>
        <v>0</v>
      </c>
      <c r="B34" s="30" t="s">
        <v>91</v>
      </c>
      <c r="C34" s="37">
        <f>C17</f>
        <v>88</v>
      </c>
      <c r="D34" s="32" t="s">
        <v>93</v>
      </c>
      <c r="E34" s="28">
        <f>E17*C31</f>
        <v>0</v>
      </c>
      <c r="F34" s="32" t="s">
        <v>6</v>
      </c>
      <c r="G34" s="28"/>
      <c r="H34" s="28"/>
      <c r="I34" s="33">
        <f>A34*C34*E34</f>
        <v>0</v>
      </c>
      <c r="K34" s="29">
        <f>N10*Q11*0.2</f>
        <v>0</v>
      </c>
      <c r="L34" s="30" t="s">
        <v>91</v>
      </c>
      <c r="M34" s="37">
        <f>M17</f>
        <v>88</v>
      </c>
      <c r="N34" s="32" t="s">
        <v>93</v>
      </c>
      <c r="O34" s="28">
        <f>O17*M31</f>
        <v>0</v>
      </c>
      <c r="P34" s="32" t="s">
        <v>6</v>
      </c>
      <c r="Q34" s="28"/>
      <c r="R34" s="28"/>
      <c r="S34" s="33">
        <f>K34*M34*O34</f>
        <v>0</v>
      </c>
      <c r="U34" s="29">
        <f>X10*AA11*0.2</f>
        <v>0</v>
      </c>
      <c r="V34" s="30" t="s">
        <v>91</v>
      </c>
      <c r="W34" s="37">
        <f>W17</f>
        <v>88</v>
      </c>
      <c r="X34" s="32" t="s">
        <v>93</v>
      </c>
      <c r="Y34" s="28">
        <f>Y17*W31</f>
        <v>0</v>
      </c>
      <c r="Z34" s="32" t="s">
        <v>6</v>
      </c>
      <c r="AA34" s="28"/>
      <c r="AB34" s="28"/>
      <c r="AC34" s="33">
        <f>U34*W34*Y34</f>
        <v>0</v>
      </c>
      <c r="AE34" s="29">
        <f>AH10*AK11*0.2</f>
        <v>0</v>
      </c>
      <c r="AF34" s="30" t="s">
        <v>91</v>
      </c>
      <c r="AG34" s="37">
        <f>AG17</f>
        <v>88</v>
      </c>
      <c r="AH34" s="32" t="s">
        <v>93</v>
      </c>
      <c r="AI34" s="28">
        <f>AI17*AG31</f>
        <v>0</v>
      </c>
      <c r="AJ34" s="32" t="s">
        <v>6</v>
      </c>
      <c r="AK34" s="28"/>
      <c r="AL34" s="28"/>
      <c r="AM34" s="33">
        <f>AE34*AG34*AI34</f>
        <v>0</v>
      </c>
    </row>
    <row r="35" spans="1:39" ht="11.1" customHeight="1">
      <c r="A35" s="41">
        <f>SUM(A15:A34)</f>
        <v>300</v>
      </c>
      <c r="B35" s="34" t="s">
        <v>95</v>
      </c>
      <c r="C35" s="26"/>
      <c r="D35" s="26"/>
      <c r="E35" s="26"/>
      <c r="F35" s="26"/>
      <c r="G35" s="26"/>
      <c r="H35" s="26"/>
      <c r="I35" s="35"/>
      <c r="K35" s="41">
        <f>SUM(K15:K34)</f>
        <v>300</v>
      </c>
      <c r="L35" s="34" t="s">
        <v>95</v>
      </c>
      <c r="M35" s="26"/>
      <c r="N35" s="26"/>
      <c r="O35" s="26"/>
      <c r="P35" s="26"/>
      <c r="Q35" s="26"/>
      <c r="R35" s="26"/>
      <c r="S35" s="35"/>
      <c r="U35" s="41">
        <f>SUM(U15:U34)</f>
        <v>300</v>
      </c>
      <c r="V35" s="34" t="s">
        <v>95</v>
      </c>
      <c r="W35" s="26"/>
      <c r="X35" s="26"/>
      <c r="Y35" s="26"/>
      <c r="Z35" s="26"/>
      <c r="AA35" s="26"/>
      <c r="AB35" s="26"/>
      <c r="AC35" s="35"/>
      <c r="AE35" s="41">
        <f>SUM(AE15:AE34)</f>
        <v>300</v>
      </c>
      <c r="AF35" s="34" t="s">
        <v>95</v>
      </c>
      <c r="AG35" s="26"/>
      <c r="AH35" s="26"/>
      <c r="AI35" s="26"/>
      <c r="AJ35" s="26"/>
      <c r="AK35" s="26"/>
      <c r="AL35" s="26"/>
      <c r="AM35" s="35"/>
    </row>
    <row r="36" spans="1:39" ht="11.1" customHeight="1">
      <c r="A36" s="25" t="s">
        <v>4</v>
      </c>
      <c r="B36" s="26"/>
      <c r="C36" s="26"/>
      <c r="D36" s="26"/>
      <c r="E36" s="26"/>
      <c r="F36" s="26"/>
      <c r="G36" s="26"/>
      <c r="H36" s="26"/>
      <c r="I36" s="42">
        <f>SUM(I15:I34)</f>
        <v>57114171</v>
      </c>
      <c r="K36" s="25" t="s">
        <v>4</v>
      </c>
      <c r="L36" s="26"/>
      <c r="M36" s="26"/>
      <c r="N36" s="26"/>
      <c r="O36" s="26"/>
      <c r="P36" s="26"/>
      <c r="Q36" s="26"/>
      <c r="R36" s="26"/>
      <c r="S36" s="42">
        <f>SUM(S15:S34)</f>
        <v>53327088</v>
      </c>
      <c r="U36" s="25" t="s">
        <v>4</v>
      </c>
      <c r="V36" s="26"/>
      <c r="W36" s="26"/>
      <c r="X36" s="26"/>
      <c r="Y36" s="26"/>
      <c r="Z36" s="26"/>
      <c r="AA36" s="26"/>
      <c r="AB36" s="26"/>
      <c r="AC36" s="42">
        <f>SUM(AC15:AC34)</f>
        <v>49778346</v>
      </c>
      <c r="AE36" s="25" t="s">
        <v>4</v>
      </c>
      <c r="AF36" s="26"/>
      <c r="AG36" s="26"/>
      <c r="AH36" s="26"/>
      <c r="AI36" s="26"/>
      <c r="AJ36" s="26"/>
      <c r="AK36" s="26"/>
      <c r="AL36" s="26"/>
      <c r="AM36" s="42">
        <f>SUM(AM15:AM34)</f>
        <v>49194288</v>
      </c>
    </row>
    <row r="37" ht="11.1" customHeight="1"/>
    <row r="38" spans="1:39" ht="11.1" customHeight="1">
      <c r="A38" s="25" t="s">
        <v>8</v>
      </c>
      <c r="B38" s="26"/>
      <c r="C38" s="26"/>
      <c r="D38" s="26"/>
      <c r="E38" s="26"/>
      <c r="F38" s="26"/>
      <c r="G38" s="26"/>
      <c r="H38" s="26"/>
      <c r="I38" s="40"/>
      <c r="K38" s="25" t="s">
        <v>8</v>
      </c>
      <c r="L38" s="26"/>
      <c r="M38" s="26"/>
      <c r="N38" s="26"/>
      <c r="O38" s="26"/>
      <c r="P38" s="26"/>
      <c r="Q38" s="26"/>
      <c r="R38" s="26"/>
      <c r="S38" s="40"/>
      <c r="U38" s="25" t="s">
        <v>8</v>
      </c>
      <c r="V38" s="26"/>
      <c r="W38" s="26"/>
      <c r="X38" s="26"/>
      <c r="Y38" s="26"/>
      <c r="Z38" s="26"/>
      <c r="AA38" s="26"/>
      <c r="AB38" s="26"/>
      <c r="AC38" s="40"/>
      <c r="AE38" s="25" t="s">
        <v>8</v>
      </c>
      <c r="AF38" s="26"/>
      <c r="AG38" s="26"/>
      <c r="AH38" s="26"/>
      <c r="AI38" s="26"/>
      <c r="AJ38" s="26"/>
      <c r="AK38" s="26"/>
      <c r="AL38" s="26"/>
      <c r="AM38" s="40"/>
    </row>
    <row r="39" spans="1:39" ht="11.1" customHeight="1">
      <c r="A39" s="16" t="s">
        <v>9</v>
      </c>
      <c r="B39" s="30" t="s">
        <v>36</v>
      </c>
      <c r="C39" s="43">
        <f>A15</f>
        <v>0</v>
      </c>
      <c r="D39" s="32" t="s">
        <v>96</v>
      </c>
      <c r="E39" s="18">
        <f>'Land Values'!D10</f>
        <v>6312.95</v>
      </c>
      <c r="F39" s="32" t="s">
        <v>97</v>
      </c>
      <c r="G39" s="28"/>
      <c r="H39" s="28"/>
      <c r="I39" s="33">
        <f>C39*E39</f>
        <v>0</v>
      </c>
      <c r="K39" s="16" t="s">
        <v>9</v>
      </c>
      <c r="L39" s="30" t="s">
        <v>36</v>
      </c>
      <c r="M39" s="43">
        <f>K15</f>
        <v>0</v>
      </c>
      <c r="N39" s="32" t="s">
        <v>96</v>
      </c>
      <c r="O39" s="18">
        <f>'Land Values'!E10</f>
        <v>6312.95</v>
      </c>
      <c r="P39" s="32" t="s">
        <v>97</v>
      </c>
      <c r="Q39" s="28"/>
      <c r="R39" s="28"/>
      <c r="S39" s="33">
        <f>M39*O39</f>
        <v>0</v>
      </c>
      <c r="U39" s="16" t="s">
        <v>9</v>
      </c>
      <c r="V39" s="30" t="s">
        <v>36</v>
      </c>
      <c r="W39" s="43">
        <f>U15</f>
        <v>0</v>
      </c>
      <c r="X39" s="32" t="s">
        <v>96</v>
      </c>
      <c r="Y39" s="18">
        <f>'Land Values'!F10</f>
        <v>6312.95</v>
      </c>
      <c r="Z39" s="32" t="s">
        <v>97</v>
      </c>
      <c r="AA39" s="28"/>
      <c r="AB39" s="28"/>
      <c r="AC39" s="33">
        <f>W39*Y39</f>
        <v>0</v>
      </c>
      <c r="AE39" s="16" t="s">
        <v>9</v>
      </c>
      <c r="AF39" s="30" t="s">
        <v>36</v>
      </c>
      <c r="AG39" s="43">
        <f>AE15</f>
        <v>0</v>
      </c>
      <c r="AH39" s="32" t="s">
        <v>96</v>
      </c>
      <c r="AI39" s="18">
        <f>'Land Values'!G10</f>
        <v>7481.735</v>
      </c>
      <c r="AJ39" s="32" t="s">
        <v>97</v>
      </c>
      <c r="AK39" s="28"/>
      <c r="AL39" s="28"/>
      <c r="AM39" s="33">
        <f>AG39*AI39</f>
        <v>0</v>
      </c>
    </row>
    <row r="40" spans="1:39" ht="11.1" customHeight="1">
      <c r="A40" s="17"/>
      <c r="B40" s="30" t="s">
        <v>98</v>
      </c>
      <c r="C40" s="43">
        <f>A16</f>
        <v>45</v>
      </c>
      <c r="D40" s="32" t="s">
        <v>96</v>
      </c>
      <c r="E40" s="18">
        <f>'Land Values'!D18</f>
        <v>15782.375</v>
      </c>
      <c r="F40" s="32" t="s">
        <v>97</v>
      </c>
      <c r="G40" s="28"/>
      <c r="H40" s="28"/>
      <c r="I40" s="33">
        <f>C40*E40</f>
        <v>710206.875</v>
      </c>
      <c r="K40" s="17"/>
      <c r="L40" s="30" t="s">
        <v>98</v>
      </c>
      <c r="M40" s="43">
        <f>K16</f>
        <v>40</v>
      </c>
      <c r="N40" s="32" t="s">
        <v>96</v>
      </c>
      <c r="O40" s="18">
        <f>'Land Values'!E18</f>
        <v>15782.375</v>
      </c>
      <c r="P40" s="32" t="s">
        <v>97</v>
      </c>
      <c r="Q40" s="28"/>
      <c r="R40" s="28"/>
      <c r="S40" s="33">
        <f>M40*O40</f>
        <v>631295</v>
      </c>
      <c r="U40" s="17"/>
      <c r="V40" s="30" t="s">
        <v>98</v>
      </c>
      <c r="W40" s="43">
        <f>U16</f>
        <v>35</v>
      </c>
      <c r="X40" s="32" t="s">
        <v>96</v>
      </c>
      <c r="Y40" s="18">
        <f>'Land Values'!F18</f>
        <v>15782.375</v>
      </c>
      <c r="Z40" s="32" t="s">
        <v>97</v>
      </c>
      <c r="AA40" s="28"/>
      <c r="AB40" s="28"/>
      <c r="AC40" s="33">
        <f>W40*Y40</f>
        <v>552383.125</v>
      </c>
      <c r="AE40" s="17"/>
      <c r="AF40" s="30" t="s">
        <v>98</v>
      </c>
      <c r="AG40" s="43">
        <f>AE16</f>
        <v>30</v>
      </c>
      <c r="AH40" s="32" t="s">
        <v>96</v>
      </c>
      <c r="AI40" s="18">
        <f>'Land Values'!G18</f>
        <v>18704.3375</v>
      </c>
      <c r="AJ40" s="32" t="s">
        <v>97</v>
      </c>
      <c r="AK40" s="28"/>
      <c r="AL40" s="28"/>
      <c r="AM40" s="33">
        <f>AG40*AI40</f>
        <v>561130.125</v>
      </c>
    </row>
    <row r="41" spans="1:39" ht="11.1" customHeight="1">
      <c r="A41" s="17"/>
      <c r="B41" s="30" t="s">
        <v>91</v>
      </c>
      <c r="C41" s="43">
        <f>A17</f>
        <v>112.5</v>
      </c>
      <c r="D41" s="32" t="s">
        <v>96</v>
      </c>
      <c r="E41" s="18">
        <f>'Land Values'!D26</f>
        <v>18037.000000000004</v>
      </c>
      <c r="F41" s="32" t="s">
        <v>97</v>
      </c>
      <c r="G41" s="28"/>
      <c r="H41" s="28"/>
      <c r="I41" s="33">
        <f>C41*E41</f>
        <v>2029162.5000000005</v>
      </c>
      <c r="K41" s="17"/>
      <c r="L41" s="30" t="s">
        <v>91</v>
      </c>
      <c r="M41" s="43">
        <f>K17</f>
        <v>100</v>
      </c>
      <c r="N41" s="32" t="s">
        <v>96</v>
      </c>
      <c r="O41" s="18">
        <f>'Land Values'!E26</f>
        <v>17808.428571428572</v>
      </c>
      <c r="P41" s="32" t="s">
        <v>97</v>
      </c>
      <c r="Q41" s="28"/>
      <c r="R41" s="28"/>
      <c r="S41" s="33">
        <f>M41*O41</f>
        <v>1780842.8571428573</v>
      </c>
      <c r="U41" s="17"/>
      <c r="V41" s="30" t="s">
        <v>91</v>
      </c>
      <c r="W41" s="43">
        <f>U17</f>
        <v>87.5</v>
      </c>
      <c r="X41" s="32" t="s">
        <v>96</v>
      </c>
      <c r="Y41" s="18">
        <f>'Land Values'!F26</f>
        <v>17808.428571428572</v>
      </c>
      <c r="Z41" s="32" t="s">
        <v>97</v>
      </c>
      <c r="AA41" s="28"/>
      <c r="AB41" s="28"/>
      <c r="AC41" s="33">
        <f>W41*Y41</f>
        <v>1558237.5</v>
      </c>
      <c r="AE41" s="17"/>
      <c r="AF41" s="30" t="s">
        <v>91</v>
      </c>
      <c r="AG41" s="43">
        <f>AE17</f>
        <v>75</v>
      </c>
      <c r="AH41" s="32" t="s">
        <v>96</v>
      </c>
      <c r="AI41" s="18">
        <f>'Land Values'!G26</f>
        <v>21147.814285714285</v>
      </c>
      <c r="AJ41" s="32" t="s">
        <v>97</v>
      </c>
      <c r="AK41" s="28"/>
      <c r="AL41" s="28"/>
      <c r="AM41" s="33">
        <f>AG41*AI41</f>
        <v>1586086.0714285714</v>
      </c>
    </row>
    <row r="42" spans="1:39" ht="11.1" customHeight="1">
      <c r="A42" s="17"/>
      <c r="B42" s="30" t="s">
        <v>99</v>
      </c>
      <c r="C42" s="43">
        <f>A18</f>
        <v>67.5</v>
      </c>
      <c r="D42" s="32" t="s">
        <v>96</v>
      </c>
      <c r="E42" s="18">
        <f>'Land Values'!D34</f>
        <v>25251.8</v>
      </c>
      <c r="F42" s="32" t="s">
        <v>97</v>
      </c>
      <c r="G42" s="28"/>
      <c r="H42" s="28"/>
      <c r="I42" s="33">
        <f>C42*E42</f>
        <v>1704496.5</v>
      </c>
      <c r="K42" s="17"/>
      <c r="L42" s="30" t="s">
        <v>99</v>
      </c>
      <c r="M42" s="43">
        <f>K18</f>
        <v>60</v>
      </c>
      <c r="N42" s="32" t="s">
        <v>96</v>
      </c>
      <c r="O42" s="18">
        <f>'Land Values'!E34</f>
        <v>24931.8</v>
      </c>
      <c r="P42" s="32" t="s">
        <v>97</v>
      </c>
      <c r="Q42" s="28"/>
      <c r="R42" s="28"/>
      <c r="S42" s="33">
        <f>M42*O42</f>
        <v>1495908</v>
      </c>
      <c r="U42" s="17"/>
      <c r="V42" s="30" t="s">
        <v>99</v>
      </c>
      <c r="W42" s="43">
        <f>U18</f>
        <v>52.5</v>
      </c>
      <c r="X42" s="32" t="s">
        <v>96</v>
      </c>
      <c r="Y42" s="18">
        <f>'Land Values'!F34</f>
        <v>24931.8</v>
      </c>
      <c r="Z42" s="32" t="s">
        <v>97</v>
      </c>
      <c r="AA42" s="28"/>
      <c r="AB42" s="28"/>
      <c r="AC42" s="33">
        <f>W42*Y42</f>
        <v>1308919.5</v>
      </c>
      <c r="AE42" s="17"/>
      <c r="AF42" s="30" t="s">
        <v>99</v>
      </c>
      <c r="AG42" s="43">
        <f>AE18</f>
        <v>45</v>
      </c>
      <c r="AH42" s="32" t="s">
        <v>96</v>
      </c>
      <c r="AI42" s="18">
        <f>'Land Values'!G34</f>
        <v>29606.94</v>
      </c>
      <c r="AJ42" s="32" t="s">
        <v>97</v>
      </c>
      <c r="AK42" s="28"/>
      <c r="AL42" s="28"/>
      <c r="AM42" s="33">
        <f>AG42*AI42</f>
        <v>1332312.3</v>
      </c>
    </row>
    <row r="43" spans="1:39" ht="11.1" customHeight="1">
      <c r="A43" s="4"/>
      <c r="B43" s="30" t="s">
        <v>100</v>
      </c>
      <c r="C43" s="43">
        <f>A19</f>
        <v>45</v>
      </c>
      <c r="D43" s="32" t="s">
        <v>96</v>
      </c>
      <c r="E43" s="18">
        <f>'Land Values'!D42</f>
        <v>31564.75</v>
      </c>
      <c r="F43" s="32" t="s">
        <v>97</v>
      </c>
      <c r="G43" s="155" t="s">
        <v>126</v>
      </c>
      <c r="H43" s="156">
        <f>SUM(I39:I43)</f>
        <v>5864279.625</v>
      </c>
      <c r="I43" s="33">
        <f>C43*E43</f>
        <v>1420413.75</v>
      </c>
      <c r="K43" s="4"/>
      <c r="L43" s="30" t="s">
        <v>100</v>
      </c>
      <c r="M43" s="43">
        <f>K19</f>
        <v>40</v>
      </c>
      <c r="N43" s="32" t="s">
        <v>96</v>
      </c>
      <c r="O43" s="18">
        <f>'Land Values'!E42</f>
        <v>31164.75</v>
      </c>
      <c r="P43" s="32" t="s">
        <v>97</v>
      </c>
      <c r="Q43" s="155" t="s">
        <v>126</v>
      </c>
      <c r="R43" s="156">
        <f>SUM(S39:S43)</f>
        <v>5154635.8571428573</v>
      </c>
      <c r="S43" s="33">
        <f>M43*O43</f>
        <v>1246590</v>
      </c>
      <c r="U43" s="4"/>
      <c r="V43" s="30" t="s">
        <v>100</v>
      </c>
      <c r="W43" s="43">
        <f>U19</f>
        <v>35</v>
      </c>
      <c r="X43" s="32" t="s">
        <v>96</v>
      </c>
      <c r="Y43" s="18">
        <f>'Land Values'!F42</f>
        <v>31164.75</v>
      </c>
      <c r="Z43" s="32" t="s">
        <v>97</v>
      </c>
      <c r="AA43" s="155" t="s">
        <v>126</v>
      </c>
      <c r="AB43" s="156">
        <f>SUM(AC39:AC43)</f>
        <v>4510306.375</v>
      </c>
      <c r="AC43" s="33">
        <f>W43*Y43</f>
        <v>1090766.25</v>
      </c>
      <c r="AE43" s="4"/>
      <c r="AF43" s="30" t="s">
        <v>100</v>
      </c>
      <c r="AG43" s="43">
        <f>AE19</f>
        <v>30</v>
      </c>
      <c r="AH43" s="32" t="s">
        <v>96</v>
      </c>
      <c r="AI43" s="18">
        <f>'Land Values'!G42</f>
        <v>37008.675</v>
      </c>
      <c r="AJ43" s="32" t="s">
        <v>97</v>
      </c>
      <c r="AK43" s="155" t="s">
        <v>126</v>
      </c>
      <c r="AL43" s="156">
        <f>SUM(AM39:AM43)</f>
        <v>4589788.7464285716</v>
      </c>
      <c r="AM43" s="33">
        <f>AG43*AI43</f>
        <v>1110260.25</v>
      </c>
    </row>
    <row r="44" spans="1:39" ht="11.1" customHeight="1">
      <c r="A44" s="17" t="s">
        <v>101</v>
      </c>
      <c r="B44" s="17"/>
      <c r="C44" s="28"/>
      <c r="D44" s="44"/>
      <c r="E44" s="45">
        <f>IF(H43&lt;125000,0%,IF(H43&lt;250000,1%,IF(H43&lt;500000,3%,IF(H43&lt;1000000,4%,IF(H43&gt;1000000,5%)))))</f>
        <v>0.05</v>
      </c>
      <c r="F44" s="32"/>
      <c r="G44" s="28"/>
      <c r="H44" s="28"/>
      <c r="I44" s="33">
        <f>SUM(I39:I43)*E44</f>
        <v>293213.98125</v>
      </c>
      <c r="K44" s="17" t="s">
        <v>101</v>
      </c>
      <c r="L44" s="17"/>
      <c r="M44" s="28"/>
      <c r="N44" s="44"/>
      <c r="O44" s="45">
        <f>IF(R43&lt;125000,0%,IF(R43&lt;250000,1%,IF(R43&lt;500000,3%,IF(R43&lt;1000000,4%,IF(R43&gt;1000000,5%)))))</f>
        <v>0.05</v>
      </c>
      <c r="P44" s="32"/>
      <c r="Q44" s="28"/>
      <c r="R44" s="28"/>
      <c r="S44" s="33">
        <f>SUM(S39:S43)*O44</f>
        <v>257731.79285714286</v>
      </c>
      <c r="U44" s="17" t="s">
        <v>101</v>
      </c>
      <c r="V44" s="17"/>
      <c r="W44" s="28"/>
      <c r="X44" s="44"/>
      <c r="Y44" s="45">
        <f>IF(AB43&lt;125000,0%,IF(AB43&lt;250000,1%,IF(AB43&lt;500000,3%,IF(AB43&lt;1000000,4%,IF(AB43&gt;1000000,5%)))))</f>
        <v>0.05</v>
      </c>
      <c r="Z44" s="32"/>
      <c r="AA44" s="28"/>
      <c r="AB44" s="28"/>
      <c r="AC44" s="33">
        <f>SUM(AC39:AC43)*Y44</f>
        <v>225515.31875</v>
      </c>
      <c r="AE44" s="17" t="s">
        <v>101</v>
      </c>
      <c r="AF44" s="17"/>
      <c r="AG44" s="28"/>
      <c r="AH44" s="44"/>
      <c r="AI44" s="45">
        <f>IF(AL43&lt;125000,0%,IF(AL43&lt;250000,1%,IF(AL43&lt;500000,3%,IF(AL43&lt;1000000,4%,IF(AL43&gt;1000000,5%)))))</f>
        <v>0.05</v>
      </c>
      <c r="AJ44" s="32"/>
      <c r="AK44" s="28"/>
      <c r="AL44" s="28"/>
      <c r="AM44" s="33">
        <f>SUM(AM39:AM43)*AI44</f>
        <v>229489.43732142859</v>
      </c>
    </row>
    <row r="45" spans="1:39" ht="11.1" customHeight="1">
      <c r="A45" s="25" t="s">
        <v>10</v>
      </c>
      <c r="B45" s="26"/>
      <c r="C45" s="26"/>
      <c r="D45" s="34"/>
      <c r="E45" s="26"/>
      <c r="F45" s="34"/>
      <c r="G45" s="26"/>
      <c r="H45" s="26"/>
      <c r="I45" s="40"/>
      <c r="K45" s="25" t="s">
        <v>10</v>
      </c>
      <c r="L45" s="26"/>
      <c r="M45" s="26"/>
      <c r="N45" s="34"/>
      <c r="O45" s="26"/>
      <c r="P45" s="34"/>
      <c r="Q45" s="26"/>
      <c r="R45" s="26"/>
      <c r="S45" s="40"/>
      <c r="U45" s="25" t="s">
        <v>10</v>
      </c>
      <c r="V45" s="26"/>
      <c r="W45" s="26"/>
      <c r="X45" s="34"/>
      <c r="Y45" s="26"/>
      <c r="Z45" s="34"/>
      <c r="AA45" s="26"/>
      <c r="AB45" s="26"/>
      <c r="AC45" s="40"/>
      <c r="AE45" s="25" t="s">
        <v>10</v>
      </c>
      <c r="AF45" s="26"/>
      <c r="AG45" s="26"/>
      <c r="AH45" s="34"/>
      <c r="AI45" s="26"/>
      <c r="AJ45" s="34"/>
      <c r="AK45" s="26"/>
      <c r="AL45" s="26"/>
      <c r="AM45" s="40"/>
    </row>
    <row r="46" spans="1:39" ht="11.1" customHeight="1">
      <c r="A46" s="29">
        <f>A15+A22+A27+A32</f>
        <v>0</v>
      </c>
      <c r="B46" s="30" t="s">
        <v>36</v>
      </c>
      <c r="C46" s="28"/>
      <c r="D46" s="32"/>
      <c r="E46" s="18">
        <f>Assumptions!$G$22</f>
        <v>1096</v>
      </c>
      <c r="F46" s="32" t="s">
        <v>6</v>
      </c>
      <c r="G46" s="46">
        <f>Assumptions!$D$22</f>
        <v>1.15</v>
      </c>
      <c r="H46" s="32" t="s">
        <v>11</v>
      </c>
      <c r="I46" s="33">
        <f>(A15*C15*E46*G46)+(A22*C22*E46*G46)</f>
        <v>0</v>
      </c>
      <c r="K46" s="29">
        <f>K15+K22+K27+K32</f>
        <v>0</v>
      </c>
      <c r="L46" s="30" t="s">
        <v>36</v>
      </c>
      <c r="M46" s="28"/>
      <c r="N46" s="32"/>
      <c r="O46" s="18">
        <f>Assumptions!$G$22</f>
        <v>1096</v>
      </c>
      <c r="P46" s="32" t="s">
        <v>6</v>
      </c>
      <c r="Q46" s="46">
        <f>Assumptions!$D$22</f>
        <v>1.15</v>
      </c>
      <c r="R46" s="32" t="s">
        <v>11</v>
      </c>
      <c r="S46" s="33">
        <f>(K15*M15*O46*Q46)+(K22*M22*O46*Q46)</f>
        <v>0</v>
      </c>
      <c r="U46" s="29">
        <f>U15+U22+U27+U32</f>
        <v>0</v>
      </c>
      <c r="V46" s="30" t="s">
        <v>36</v>
      </c>
      <c r="W46" s="28"/>
      <c r="X46" s="32"/>
      <c r="Y46" s="18">
        <f>Assumptions!$G$22</f>
        <v>1096</v>
      </c>
      <c r="Z46" s="32" t="s">
        <v>6</v>
      </c>
      <c r="AA46" s="46">
        <f>Assumptions!$D$22</f>
        <v>1.15</v>
      </c>
      <c r="AB46" s="32" t="s">
        <v>11</v>
      </c>
      <c r="AC46" s="33">
        <f>(U15*W15*Y46*AA46)+(U22*W22*Y46*AA46)</f>
        <v>0</v>
      </c>
      <c r="AE46" s="29">
        <f>AE15+AE22+AE27+AE32</f>
        <v>0</v>
      </c>
      <c r="AF46" s="30" t="s">
        <v>36</v>
      </c>
      <c r="AG46" s="28"/>
      <c r="AH46" s="32"/>
      <c r="AI46" s="18">
        <f>Assumptions!$G$22</f>
        <v>1096</v>
      </c>
      <c r="AJ46" s="32" t="s">
        <v>6</v>
      </c>
      <c r="AK46" s="46">
        <f>Assumptions!$D$22</f>
        <v>1.15</v>
      </c>
      <c r="AL46" s="32" t="s">
        <v>11</v>
      </c>
      <c r="AM46" s="33">
        <f>(AE15*AG15*AI46*AK46)+(AE22*AG22*AI46*AK46)</f>
        <v>0</v>
      </c>
    </row>
    <row r="47" spans="1:39" ht="11.1" customHeight="1">
      <c r="A47" s="29">
        <f>A16+A23+A28+A33</f>
        <v>66</v>
      </c>
      <c r="B47" s="30" t="s">
        <v>102</v>
      </c>
      <c r="C47" s="28"/>
      <c r="D47" s="32"/>
      <c r="E47" s="18">
        <f>Assumptions!$G$23</f>
        <v>899</v>
      </c>
      <c r="F47" s="32" t="s">
        <v>6</v>
      </c>
      <c r="G47" s="28"/>
      <c r="H47" s="28"/>
      <c r="I47" s="33">
        <f>(A16*C16*E47)+(A23*C23*E47)</f>
        <v>4601082</v>
      </c>
      <c r="K47" s="29">
        <f>K16+K23+K28+K33</f>
        <v>82</v>
      </c>
      <c r="L47" s="30" t="s">
        <v>102</v>
      </c>
      <c r="M47" s="28"/>
      <c r="N47" s="32"/>
      <c r="O47" s="18">
        <f>Assumptions!$G$23</f>
        <v>899</v>
      </c>
      <c r="P47" s="32" t="s">
        <v>6</v>
      </c>
      <c r="Q47" s="28"/>
      <c r="R47" s="28"/>
      <c r="S47" s="33">
        <f>(K16*M16*O47)+(K23*M23*O47)</f>
        <v>5830914</v>
      </c>
      <c r="U47" s="29">
        <f>U16+U23+U28+U33</f>
        <v>98</v>
      </c>
      <c r="V47" s="30" t="s">
        <v>102</v>
      </c>
      <c r="W47" s="28"/>
      <c r="X47" s="32"/>
      <c r="Y47" s="18">
        <f>Assumptions!$G$23</f>
        <v>899</v>
      </c>
      <c r="Z47" s="32" t="s">
        <v>6</v>
      </c>
      <c r="AA47" s="28"/>
      <c r="AB47" s="28"/>
      <c r="AC47" s="33">
        <f>(U16*W16*Y47)+(U23*W23*Y47)</f>
        <v>7060745.9999999991</v>
      </c>
      <c r="AE47" s="29">
        <f>AE16+AE23+AE28+AE33</f>
        <v>114</v>
      </c>
      <c r="AF47" s="30" t="s">
        <v>102</v>
      </c>
      <c r="AG47" s="28"/>
      <c r="AH47" s="32"/>
      <c r="AI47" s="18">
        <f>Assumptions!$G$23</f>
        <v>899</v>
      </c>
      <c r="AJ47" s="32" t="s">
        <v>6</v>
      </c>
      <c r="AK47" s="28"/>
      <c r="AL47" s="28"/>
      <c r="AM47" s="33">
        <f>(AE16*AG16*AI47)+(AE23*AG23*AI47)</f>
        <v>8290578</v>
      </c>
    </row>
    <row r="48" spans="1:39" ht="11.1" customHeight="1">
      <c r="A48" s="29">
        <f>A17+A24+A29+A34</f>
        <v>121.5</v>
      </c>
      <c r="B48" s="30" t="s">
        <v>103</v>
      </c>
      <c r="C48" s="28"/>
      <c r="D48" s="32"/>
      <c r="E48" s="18">
        <f>Assumptions!$G$24</f>
        <v>899</v>
      </c>
      <c r="F48" s="32" t="s">
        <v>6</v>
      </c>
      <c r="G48" s="28"/>
      <c r="H48" s="28"/>
      <c r="I48" s="33">
        <f>(A17*C17*E48)+(A24*C24*E48)</f>
        <v>9660654</v>
      </c>
      <c r="K48" s="29">
        <f>K17+K24+K29+K34</f>
        <v>118</v>
      </c>
      <c r="L48" s="30" t="s">
        <v>103</v>
      </c>
      <c r="M48" s="28"/>
      <c r="N48" s="32"/>
      <c r="O48" s="18">
        <f>Assumptions!$G$24</f>
        <v>899</v>
      </c>
      <c r="P48" s="32" t="s">
        <v>6</v>
      </c>
      <c r="Q48" s="28"/>
      <c r="R48" s="28"/>
      <c r="S48" s="33">
        <f>(K17*M17*O48)+(K24*M24*O48)</f>
        <v>9432308</v>
      </c>
      <c r="U48" s="29">
        <f>U17+U24+U29+U34</f>
        <v>114.5</v>
      </c>
      <c r="V48" s="30" t="s">
        <v>103</v>
      </c>
      <c r="W48" s="28"/>
      <c r="X48" s="32"/>
      <c r="Y48" s="18">
        <f>Assumptions!$G$24</f>
        <v>899</v>
      </c>
      <c r="Z48" s="32" t="s">
        <v>6</v>
      </c>
      <c r="AA48" s="28"/>
      <c r="AB48" s="28"/>
      <c r="AC48" s="33">
        <f>(U17*W17*Y48)+(U24*W24*Y48)</f>
        <v>9203962</v>
      </c>
      <c r="AE48" s="29">
        <f>AE17+AE24+AE29+AE34</f>
        <v>111</v>
      </c>
      <c r="AF48" s="30" t="s">
        <v>103</v>
      </c>
      <c r="AG48" s="28"/>
      <c r="AH48" s="32"/>
      <c r="AI48" s="18">
        <f>Assumptions!$G$24</f>
        <v>899</v>
      </c>
      <c r="AJ48" s="32" t="s">
        <v>6</v>
      </c>
      <c r="AK48" s="28"/>
      <c r="AL48" s="28"/>
      <c r="AM48" s="33">
        <f>(AE17*AG17*AI48)+(AE24*AG24*AI48)</f>
        <v>8975616</v>
      </c>
    </row>
    <row r="49" spans="1:39" ht="11.1" customHeight="1">
      <c r="A49" s="29">
        <f>A18</f>
        <v>67.5</v>
      </c>
      <c r="B49" s="30" t="s">
        <v>104</v>
      </c>
      <c r="C49" s="28"/>
      <c r="D49" s="32"/>
      <c r="E49" s="18">
        <f>Assumptions!$G$25</f>
        <v>899</v>
      </c>
      <c r="F49" s="32" t="s">
        <v>6</v>
      </c>
      <c r="G49" s="28"/>
      <c r="H49" s="28"/>
      <c r="I49" s="33">
        <f>(A18*C18*E49)</f>
        <v>7281900</v>
      </c>
      <c r="K49" s="29">
        <f>K18</f>
        <v>60</v>
      </c>
      <c r="L49" s="30" t="s">
        <v>104</v>
      </c>
      <c r="M49" s="28"/>
      <c r="N49" s="32"/>
      <c r="O49" s="18">
        <f>Assumptions!$G$25</f>
        <v>899</v>
      </c>
      <c r="P49" s="32" t="s">
        <v>6</v>
      </c>
      <c r="Q49" s="28"/>
      <c r="R49" s="28"/>
      <c r="S49" s="33">
        <f>(K18*M18*O49)</f>
        <v>6472800</v>
      </c>
      <c r="U49" s="29">
        <f>U18</f>
        <v>52.5</v>
      </c>
      <c r="V49" s="30" t="s">
        <v>104</v>
      </c>
      <c r="W49" s="28"/>
      <c r="X49" s="32"/>
      <c r="Y49" s="18">
        <f>Assumptions!$G$25</f>
        <v>899</v>
      </c>
      <c r="Z49" s="32" t="s">
        <v>6</v>
      </c>
      <c r="AA49" s="28"/>
      <c r="AB49" s="28"/>
      <c r="AC49" s="33">
        <f>(U18*W18*Y49)</f>
        <v>5663700</v>
      </c>
      <c r="AE49" s="29">
        <f>AE18</f>
        <v>45</v>
      </c>
      <c r="AF49" s="30" t="s">
        <v>104</v>
      </c>
      <c r="AG49" s="28"/>
      <c r="AH49" s="32"/>
      <c r="AI49" s="18">
        <f>Assumptions!$G$25</f>
        <v>899</v>
      </c>
      <c r="AJ49" s="32" t="s">
        <v>6</v>
      </c>
      <c r="AK49" s="28"/>
      <c r="AL49" s="28"/>
      <c r="AM49" s="33">
        <f>(AE18*AG18*AI49)</f>
        <v>4854600</v>
      </c>
    </row>
    <row r="50" spans="1:39" ht="11.1" customHeight="1">
      <c r="A50" s="29">
        <f>A19</f>
        <v>45</v>
      </c>
      <c r="B50" s="30" t="s">
        <v>105</v>
      </c>
      <c r="C50" s="28"/>
      <c r="D50" s="32"/>
      <c r="E50" s="18">
        <f>Assumptions!$G$26</f>
        <v>899</v>
      </c>
      <c r="F50" s="32" t="s">
        <v>6</v>
      </c>
      <c r="G50" s="28"/>
      <c r="H50" s="28"/>
      <c r="I50" s="33">
        <f>(A19*C19*E50)</f>
        <v>6068250</v>
      </c>
      <c r="K50" s="29">
        <f>K19</f>
        <v>40</v>
      </c>
      <c r="L50" s="30" t="s">
        <v>105</v>
      </c>
      <c r="M50" s="28"/>
      <c r="N50" s="32"/>
      <c r="O50" s="18">
        <f>Assumptions!$G$26</f>
        <v>899</v>
      </c>
      <c r="P50" s="32" t="s">
        <v>6</v>
      </c>
      <c r="Q50" s="28"/>
      <c r="R50" s="28"/>
      <c r="S50" s="33">
        <f>(K19*M19*O50)</f>
        <v>5394000</v>
      </c>
      <c r="U50" s="29">
        <f>U19</f>
        <v>35</v>
      </c>
      <c r="V50" s="30" t="s">
        <v>105</v>
      </c>
      <c r="W50" s="28"/>
      <c r="X50" s="32"/>
      <c r="Y50" s="18">
        <f>Assumptions!$G$26</f>
        <v>899</v>
      </c>
      <c r="Z50" s="32" t="s">
        <v>6</v>
      </c>
      <c r="AA50" s="28"/>
      <c r="AB50" s="28"/>
      <c r="AC50" s="33">
        <f>(U19*W19*Y50)</f>
        <v>4719750</v>
      </c>
      <c r="AE50" s="29">
        <f>AE19</f>
        <v>30</v>
      </c>
      <c r="AF50" s="30" t="s">
        <v>105</v>
      </c>
      <c r="AG50" s="28"/>
      <c r="AH50" s="32"/>
      <c r="AI50" s="18">
        <f>Assumptions!$G$26</f>
        <v>899</v>
      </c>
      <c r="AJ50" s="32" t="s">
        <v>6</v>
      </c>
      <c r="AK50" s="28"/>
      <c r="AL50" s="28"/>
      <c r="AM50" s="33">
        <f>(AE19*AG19*AI50)</f>
        <v>4045500</v>
      </c>
    </row>
    <row r="51" spans="1:39" ht="11.1" customHeight="1">
      <c r="A51" s="38">
        <f>SUM(A46:A50)</f>
        <v>300</v>
      </c>
      <c r="B51" s="26"/>
      <c r="C51" s="47">
        <f>SUM(A46*C46*G46)+(A47*C47)+(A48*C48)+(A49*C49)+(A50*C50)</f>
        <v>0</v>
      </c>
      <c r="D51" s="34" t="s">
        <v>106</v>
      </c>
      <c r="E51" s="26"/>
      <c r="F51" s="34"/>
      <c r="G51" s="26"/>
      <c r="H51" s="26"/>
      <c r="I51" s="40"/>
      <c r="K51" s="38">
        <f>SUM(K46:K50)</f>
        <v>300</v>
      </c>
      <c r="L51" s="26"/>
      <c r="M51" s="47">
        <f>SUM(K46*M46*Q46)+(K47*M47)+(K48*M48)+(K49*M49)+(K50*M50)</f>
        <v>0</v>
      </c>
      <c r="N51" s="34" t="s">
        <v>106</v>
      </c>
      <c r="O51" s="26"/>
      <c r="P51" s="34"/>
      <c r="Q51" s="26"/>
      <c r="R51" s="26"/>
      <c r="S51" s="40"/>
      <c r="U51" s="38">
        <f>SUM(U46:U50)</f>
        <v>300</v>
      </c>
      <c r="V51" s="26"/>
      <c r="W51" s="47">
        <f>SUM(U46*W46*AA46)+(U47*W47)+(U48*W48)+(U49*W49)+(U50*W50)</f>
        <v>0</v>
      </c>
      <c r="X51" s="34" t="s">
        <v>106</v>
      </c>
      <c r="Y51" s="26"/>
      <c r="Z51" s="34"/>
      <c r="AA51" s="26"/>
      <c r="AB51" s="26"/>
      <c r="AC51" s="40"/>
      <c r="AE51" s="38">
        <f>SUM(AE46:AE50)</f>
        <v>300</v>
      </c>
      <c r="AF51" s="26"/>
      <c r="AG51" s="47">
        <f>SUM(AE46*AG46*AK46)+(AE47*AG47)+(AE48*AG48)+(AE49*AG49)+(AE50*AG50)</f>
        <v>0</v>
      </c>
      <c r="AH51" s="34" t="s">
        <v>106</v>
      </c>
      <c r="AI51" s="26"/>
      <c r="AJ51" s="34"/>
      <c r="AK51" s="26"/>
      <c r="AL51" s="26"/>
      <c r="AM51" s="40"/>
    </row>
    <row r="52" spans="1:39" ht="11.1" customHeight="1">
      <c r="A52" s="17" t="s">
        <v>137</v>
      </c>
      <c r="B52" s="4"/>
      <c r="E52" s="71">
        <f>IF(E40&lt;25000,0,IF(E40&gt;25000,(E40*Assumptions!$D$211)))</f>
        <v>0</v>
      </c>
      <c r="F52" s="48" t="s">
        <v>138</v>
      </c>
      <c r="I52" s="33">
        <f>D10*E52</f>
        <v>0</v>
      </c>
      <c r="K52" s="17" t="s">
        <v>137</v>
      </c>
      <c r="L52" s="4"/>
      <c r="O52" s="71">
        <f>IF(O40&lt;25000,0,IF(O40&gt;25000,(O40*Assumptions!$D$211)))</f>
        <v>0</v>
      </c>
      <c r="P52" s="48" t="s">
        <v>138</v>
      </c>
      <c r="S52" s="33">
        <f>N10*O52</f>
        <v>0</v>
      </c>
      <c r="U52" s="17" t="s">
        <v>137</v>
      </c>
      <c r="V52" s="4"/>
      <c r="Y52" s="71">
        <f>IF(Y40&lt;25000,0,IF(Y40&gt;25000,(Y40*Assumptions!$D$211)))</f>
        <v>0</v>
      </c>
      <c r="Z52" s="48" t="s">
        <v>138</v>
      </c>
      <c r="AC52" s="33">
        <f>X10*Y52</f>
        <v>0</v>
      </c>
      <c r="AE52" s="17" t="s">
        <v>137</v>
      </c>
      <c r="AF52" s="4"/>
      <c r="AI52" s="71">
        <f>IF(AI40&lt;25000,0,IF(AI40&gt;25000,(AI40*Assumptions!$D$211)))</f>
        <v>0</v>
      </c>
      <c r="AJ52" s="48" t="s">
        <v>138</v>
      </c>
      <c r="AM52" s="33">
        <f>AH10*AI52</f>
        <v>0</v>
      </c>
    </row>
    <row r="53" spans="1:39" ht="11.1" customHeight="1">
      <c r="A53" s="17" t="s">
        <v>119</v>
      </c>
      <c r="B53" s="17"/>
      <c r="C53" s="49"/>
      <c r="D53" s="28"/>
      <c r="E53" s="73">
        <f>Assumptions!$E$44</f>
        <v>0.08</v>
      </c>
      <c r="F53" s="32" t="s">
        <v>14</v>
      </c>
      <c r="G53" s="28"/>
      <c r="H53" s="28"/>
      <c r="I53" s="33">
        <f>SUM(I46:I50)*E53</f>
        <v>2208950.88</v>
      </c>
      <c r="K53" s="17" t="s">
        <v>119</v>
      </c>
      <c r="L53" s="17"/>
      <c r="M53" s="49"/>
      <c r="N53" s="28"/>
      <c r="O53" s="73">
        <f>Assumptions!$E$44</f>
        <v>0.08</v>
      </c>
      <c r="P53" s="32" t="s">
        <v>14</v>
      </c>
      <c r="Q53" s="28"/>
      <c r="R53" s="28"/>
      <c r="S53" s="33">
        <f>SUM(S46:S50)*O53</f>
        <v>2170401.7600000002</v>
      </c>
      <c r="U53" s="17" t="s">
        <v>119</v>
      </c>
      <c r="V53" s="17"/>
      <c r="W53" s="49"/>
      <c r="X53" s="28"/>
      <c r="Y53" s="73">
        <f>Assumptions!$E$44</f>
        <v>0.08</v>
      </c>
      <c r="Z53" s="32" t="s">
        <v>14</v>
      </c>
      <c r="AA53" s="28"/>
      <c r="AB53" s="28"/>
      <c r="AC53" s="33">
        <f>SUM(AC46:AC50)*Y53</f>
        <v>2131852.64</v>
      </c>
      <c r="AE53" s="17" t="s">
        <v>119</v>
      </c>
      <c r="AF53" s="17"/>
      <c r="AG53" s="49"/>
      <c r="AH53" s="28"/>
      <c r="AI53" s="73">
        <f>Assumptions!$E$44</f>
        <v>0.08</v>
      </c>
      <c r="AJ53" s="32" t="s">
        <v>14</v>
      </c>
      <c r="AK53" s="28"/>
      <c r="AL53" s="28"/>
      <c r="AM53" s="33">
        <f>SUM(AM46:AM50)*AI53</f>
        <v>2093303.52</v>
      </c>
    </row>
    <row r="54" spans="1:39" ht="11.1" customHeight="1">
      <c r="A54" s="17" t="s">
        <v>15</v>
      </c>
      <c r="B54" s="17"/>
      <c r="C54" s="49"/>
      <c r="D54" s="28"/>
      <c r="E54" s="73">
        <f>Assumptions!$E$45</f>
        <v>0.005</v>
      </c>
      <c r="F54" s="32" t="s">
        <v>16</v>
      </c>
      <c r="G54" s="28"/>
      <c r="H54" s="28"/>
      <c r="I54" s="33">
        <f>I36*E54</f>
        <v>285570.855</v>
      </c>
      <c r="K54" s="17" t="s">
        <v>15</v>
      </c>
      <c r="L54" s="17"/>
      <c r="M54" s="49"/>
      <c r="N54" s="28"/>
      <c r="O54" s="73">
        <f>Assumptions!$E$45</f>
        <v>0.005</v>
      </c>
      <c r="P54" s="32" t="s">
        <v>16</v>
      </c>
      <c r="Q54" s="28"/>
      <c r="R54" s="28"/>
      <c r="S54" s="33">
        <f>S36*O54</f>
        <v>266635.44</v>
      </c>
      <c r="U54" s="17" t="s">
        <v>15</v>
      </c>
      <c r="V54" s="17"/>
      <c r="W54" s="49"/>
      <c r="X54" s="28"/>
      <c r="Y54" s="73">
        <f>Assumptions!$E$45</f>
        <v>0.005</v>
      </c>
      <c r="Z54" s="32" t="s">
        <v>16</v>
      </c>
      <c r="AA54" s="28"/>
      <c r="AB54" s="28"/>
      <c r="AC54" s="33">
        <f>AC36*Y54</f>
        <v>248891.73</v>
      </c>
      <c r="AE54" s="17" t="s">
        <v>15</v>
      </c>
      <c r="AF54" s="17"/>
      <c r="AG54" s="49"/>
      <c r="AH54" s="28"/>
      <c r="AI54" s="73">
        <f>Assumptions!$E$45</f>
        <v>0.005</v>
      </c>
      <c r="AJ54" s="32" t="s">
        <v>16</v>
      </c>
      <c r="AK54" s="28"/>
      <c r="AL54" s="28"/>
      <c r="AM54" s="33">
        <f>AM36*AI54</f>
        <v>245971.44</v>
      </c>
    </row>
    <row r="55" spans="1:39" ht="11.1" customHeight="1">
      <c r="A55" s="17" t="s">
        <v>17</v>
      </c>
      <c r="B55" s="17"/>
      <c r="C55" s="49"/>
      <c r="D55" s="28"/>
      <c r="E55" s="73">
        <f>Assumptions!$E$46</f>
        <v>0.011</v>
      </c>
      <c r="F55" s="32" t="s">
        <v>14</v>
      </c>
      <c r="G55" s="28"/>
      <c r="H55" s="28"/>
      <c r="I55" s="33">
        <f>SUM(I46:I50)*E55</f>
        <v>303730.746</v>
      </c>
      <c r="K55" s="17" t="s">
        <v>17</v>
      </c>
      <c r="L55" s="17"/>
      <c r="M55" s="49"/>
      <c r="N55" s="28"/>
      <c r="O55" s="73">
        <f>Assumptions!$E$46</f>
        <v>0.011</v>
      </c>
      <c r="P55" s="32" t="s">
        <v>14</v>
      </c>
      <c r="Q55" s="28"/>
      <c r="R55" s="28"/>
      <c r="S55" s="33">
        <f>SUM(S46:S50)*O55</f>
        <v>298430.24199999997</v>
      </c>
      <c r="U55" s="17" t="s">
        <v>17</v>
      </c>
      <c r="V55" s="17"/>
      <c r="W55" s="49"/>
      <c r="X55" s="28"/>
      <c r="Y55" s="73">
        <f>Assumptions!$E$46</f>
        <v>0.011</v>
      </c>
      <c r="Z55" s="32" t="s">
        <v>14</v>
      </c>
      <c r="AA55" s="28"/>
      <c r="AB55" s="28"/>
      <c r="AC55" s="33">
        <f>SUM(AC46:AC50)*Y55</f>
        <v>293129.73799999995</v>
      </c>
      <c r="AE55" s="17" t="s">
        <v>17</v>
      </c>
      <c r="AF55" s="17"/>
      <c r="AG55" s="49"/>
      <c r="AH55" s="28"/>
      <c r="AI55" s="73">
        <f>Assumptions!$E$46</f>
        <v>0.011</v>
      </c>
      <c r="AJ55" s="32" t="s">
        <v>14</v>
      </c>
      <c r="AK55" s="28"/>
      <c r="AL55" s="28"/>
      <c r="AM55" s="33">
        <f>SUM(AM46:AM50)*AI55</f>
        <v>287829.234</v>
      </c>
    </row>
    <row r="56" spans="1:39" ht="11.1" customHeight="1">
      <c r="A56" s="17" t="s">
        <v>18</v>
      </c>
      <c r="B56" s="17"/>
      <c r="C56" s="49"/>
      <c r="D56" s="28"/>
      <c r="E56" s="73">
        <f>Assumptions!$E$47</f>
        <v>0.02</v>
      </c>
      <c r="F56" s="32" t="s">
        <v>50</v>
      </c>
      <c r="G56" s="28"/>
      <c r="H56" s="28"/>
      <c r="I56" s="33">
        <f>SUM(I15:I19)*E56</f>
        <v>1096875</v>
      </c>
      <c r="K56" s="17" t="s">
        <v>18</v>
      </c>
      <c r="L56" s="17"/>
      <c r="M56" s="49"/>
      <c r="N56" s="28"/>
      <c r="O56" s="73">
        <f>Assumptions!$E$47</f>
        <v>0.02</v>
      </c>
      <c r="P56" s="32" t="s">
        <v>50</v>
      </c>
      <c r="Q56" s="28"/>
      <c r="R56" s="28"/>
      <c r="S56" s="33">
        <f>SUM(S15:S19)*O56</f>
        <v>975000</v>
      </c>
      <c r="U56" s="17" t="s">
        <v>18</v>
      </c>
      <c r="V56" s="17"/>
      <c r="W56" s="49"/>
      <c r="X56" s="28"/>
      <c r="Y56" s="73">
        <f>Assumptions!$E$47</f>
        <v>0.02</v>
      </c>
      <c r="Z56" s="32" t="s">
        <v>50</v>
      </c>
      <c r="AA56" s="28"/>
      <c r="AB56" s="28"/>
      <c r="AC56" s="33">
        <f>SUM(AC15:AC19)*Y56</f>
        <v>853125</v>
      </c>
      <c r="AE56" s="17" t="s">
        <v>18</v>
      </c>
      <c r="AF56" s="17"/>
      <c r="AG56" s="49"/>
      <c r="AH56" s="28"/>
      <c r="AI56" s="73">
        <f>Assumptions!$E$47</f>
        <v>0.02</v>
      </c>
      <c r="AJ56" s="32" t="s">
        <v>50</v>
      </c>
      <c r="AK56" s="28"/>
      <c r="AL56" s="28"/>
      <c r="AM56" s="33">
        <f>SUM(AM15:AM19)*AI56</f>
        <v>768750</v>
      </c>
    </row>
    <row r="57" spans="1:39" ht="11.1" customHeight="1">
      <c r="A57" s="17" t="s">
        <v>19</v>
      </c>
      <c r="B57" s="17"/>
      <c r="C57" s="50"/>
      <c r="D57" s="28"/>
      <c r="E57" s="73">
        <f>Assumptions!$E$48</f>
        <v>0.05</v>
      </c>
      <c r="F57" s="32" t="s">
        <v>14</v>
      </c>
      <c r="G57" s="28"/>
      <c r="H57" s="28"/>
      <c r="I57" s="33">
        <f>SUM(I46:I52)*E57</f>
        <v>1380594.3</v>
      </c>
      <c r="K57" s="17" t="s">
        <v>19</v>
      </c>
      <c r="L57" s="17"/>
      <c r="M57" s="50"/>
      <c r="N57" s="28"/>
      <c r="O57" s="73">
        <f>Assumptions!$E$48</f>
        <v>0.05</v>
      </c>
      <c r="P57" s="32" t="s">
        <v>14</v>
      </c>
      <c r="Q57" s="28"/>
      <c r="R57" s="28"/>
      <c r="S57" s="33">
        <f>SUM(S46:S52)*O57</f>
        <v>1356501.1</v>
      </c>
      <c r="U57" s="17" t="s">
        <v>19</v>
      </c>
      <c r="V57" s="17"/>
      <c r="W57" s="50"/>
      <c r="X57" s="28"/>
      <c r="Y57" s="73">
        <f>Assumptions!$E$48</f>
        <v>0.05</v>
      </c>
      <c r="Z57" s="32" t="s">
        <v>14</v>
      </c>
      <c r="AA57" s="28"/>
      <c r="AB57" s="28"/>
      <c r="AC57" s="33">
        <f>SUM(AC46:AC52)*Y57</f>
        <v>1332407.9000000001</v>
      </c>
      <c r="AE57" s="17" t="s">
        <v>19</v>
      </c>
      <c r="AF57" s="17"/>
      <c r="AG57" s="50"/>
      <c r="AH57" s="28"/>
      <c r="AI57" s="73">
        <f>Assumptions!$E$48</f>
        <v>0.05</v>
      </c>
      <c r="AJ57" s="32" t="s">
        <v>14</v>
      </c>
      <c r="AK57" s="28"/>
      <c r="AL57" s="28"/>
      <c r="AM57" s="33">
        <f>SUM(AM46:AM52)*AI57</f>
        <v>1308314.7000000002</v>
      </c>
    </row>
    <row r="58" spans="1:39" ht="11.1" customHeight="1">
      <c r="A58" s="17" t="s">
        <v>20</v>
      </c>
      <c r="B58" s="4"/>
      <c r="C58" s="13"/>
      <c r="E58" s="74">
        <f>Assumptions!$E$49</f>
        <v>4000</v>
      </c>
      <c r="F58" s="32" t="s">
        <v>51</v>
      </c>
      <c r="I58" s="36">
        <f>A35*E58</f>
        <v>1200000</v>
      </c>
      <c r="K58" s="17" t="s">
        <v>20</v>
      </c>
      <c r="L58" s="4"/>
      <c r="M58" s="13"/>
      <c r="O58" s="74">
        <f>Assumptions!$E$49</f>
        <v>4000</v>
      </c>
      <c r="P58" s="32" t="s">
        <v>51</v>
      </c>
      <c r="S58" s="36">
        <f>K35*O58</f>
        <v>1200000</v>
      </c>
      <c r="U58" s="17" t="s">
        <v>20</v>
      </c>
      <c r="V58" s="4"/>
      <c r="W58" s="13"/>
      <c r="Y58" s="74">
        <f>Assumptions!$E$49</f>
        <v>4000</v>
      </c>
      <c r="Z58" s="32" t="s">
        <v>51</v>
      </c>
      <c r="AC58" s="36">
        <f>U35*Y58</f>
        <v>1200000</v>
      </c>
      <c r="AE58" s="17" t="s">
        <v>20</v>
      </c>
      <c r="AF58" s="4"/>
      <c r="AG58" s="13"/>
      <c r="AI58" s="74">
        <f>Assumptions!$E$49</f>
        <v>4000</v>
      </c>
      <c r="AJ58" s="32" t="s">
        <v>51</v>
      </c>
      <c r="AM58" s="36">
        <f>AE35*AI58</f>
        <v>1200000</v>
      </c>
    </row>
    <row r="59" spans="1:39" ht="11.1" customHeight="1">
      <c r="A59" s="17" t="s">
        <v>121</v>
      </c>
      <c r="B59" s="17"/>
      <c r="C59" s="45">
        <f>Assumptions!$C$50</f>
        <v>0.05</v>
      </c>
      <c r="D59" s="72">
        <f>Assumptions!$D$50</f>
        <v>12</v>
      </c>
      <c r="E59" s="32" t="s">
        <v>22</v>
      </c>
      <c r="F59" s="28"/>
      <c r="G59" s="71">
        <f>Assumptions!$G$50</f>
        <v>6</v>
      </c>
      <c r="H59" s="32" t="s">
        <v>110</v>
      </c>
      <c r="I59" s="33">
        <f>(((SUM(I39:I44)*POWER((1+C59/12),((D59+G59)/12)*12))-SUM(I39:I44))      +           ((((SUM(I46:I58)*POWER((1+C59/12),((D59+G59)/12)*12))-SUM(I46:I58))*0.5)))</f>
        <v>1803116.9304531962</v>
      </c>
      <c r="K59" s="17" t="s">
        <v>121</v>
      </c>
      <c r="L59" s="17"/>
      <c r="M59" s="45">
        <f>Assumptions!$C$50</f>
        <v>0.05</v>
      </c>
      <c r="N59" s="72">
        <f>Assumptions!$D$50</f>
        <v>12</v>
      </c>
      <c r="O59" s="32" t="s">
        <v>22</v>
      </c>
      <c r="P59" s="28"/>
      <c r="Q59" s="71">
        <f>Assumptions!$G$50</f>
        <v>6</v>
      </c>
      <c r="R59" s="32" t="s">
        <v>110</v>
      </c>
      <c r="S59" s="33">
        <f>(((SUM(S39:S44)*POWER((1+M59/12),((N59+Q59)/12)*12))-SUM(S39:S44))      +           ((((SUM(S46:S58)*POWER((1+M59/12),((N59+Q59)/12)*12))-SUM(S46:S58))*0.5)))</f>
        <v>1718372.4869425809</v>
      </c>
      <c r="U59" s="17" t="s">
        <v>121</v>
      </c>
      <c r="V59" s="17"/>
      <c r="W59" s="45">
        <f>Assumptions!$C$50</f>
        <v>0.05</v>
      </c>
      <c r="X59" s="72">
        <f>Assumptions!$D$50</f>
        <v>12</v>
      </c>
      <c r="Y59" s="32" t="s">
        <v>22</v>
      </c>
      <c r="Z59" s="28"/>
      <c r="AA59" s="71">
        <f>Assumptions!$G$50</f>
        <v>6</v>
      </c>
      <c r="AB59" s="32" t="s">
        <v>110</v>
      </c>
      <c r="AC59" s="33">
        <f>(((SUM(AC39:AC44)*POWER((1+W59/12),((X59+AA59)/12)*12))-SUM(AC39:AC44))      +           ((((SUM(AC46:AC58)*POWER((1+W59/12),((X59+AA59)/12)*12))-SUM(AC46:AC58))*0.5)))</f>
        <v>1639004.1285771448</v>
      </c>
      <c r="AE59" s="17" t="s">
        <v>121</v>
      </c>
      <c r="AF59" s="17"/>
      <c r="AG59" s="45">
        <f>Assumptions!$C$50</f>
        <v>0.05</v>
      </c>
      <c r="AH59" s="72">
        <f>Assumptions!$D$50</f>
        <v>12</v>
      </c>
      <c r="AI59" s="32" t="s">
        <v>22</v>
      </c>
      <c r="AJ59" s="28"/>
      <c r="AK59" s="71">
        <f>Assumptions!$G$50</f>
        <v>6</v>
      </c>
      <c r="AL59" s="32" t="s">
        <v>110</v>
      </c>
      <c r="AM59" s="33">
        <f>(((SUM(AM39:AM44)*POWER((1+AG59/12),((AH59+AK59)/12)*12))-SUM(AM39:AM44))      +           ((((SUM(AM46:AM58)*POWER((1+AG59/12),((AH59+AK59)/12)*12))-SUM(AM46:AM58))*0.5)))</f>
        <v>1620733.46961617</v>
      </c>
    </row>
    <row r="60" spans="1:39" ht="11.1" customHeight="1">
      <c r="A60" s="17" t="s">
        <v>23</v>
      </c>
      <c r="B60" s="17"/>
      <c r="C60" s="45">
        <f>Assumptions!$C$51</f>
        <v>0</v>
      </c>
      <c r="D60" s="32" t="s">
        <v>24</v>
      </c>
      <c r="E60" s="28"/>
      <c r="F60" s="28"/>
      <c r="G60" s="28"/>
      <c r="H60" s="28"/>
      <c r="I60" s="33">
        <f>SUM(I39:I57)*C60</f>
        <v>0</v>
      </c>
      <c r="K60" s="17" t="s">
        <v>23</v>
      </c>
      <c r="L60" s="17"/>
      <c r="M60" s="45">
        <f>Assumptions!$C$51</f>
        <v>0</v>
      </c>
      <c r="N60" s="32" t="s">
        <v>24</v>
      </c>
      <c r="O60" s="28"/>
      <c r="P60" s="28"/>
      <c r="Q60" s="28"/>
      <c r="R60" s="28"/>
      <c r="S60" s="33">
        <f>SUM(S39:S57)*M60</f>
        <v>0</v>
      </c>
      <c r="U60" s="17" t="s">
        <v>23</v>
      </c>
      <c r="V60" s="17"/>
      <c r="W60" s="45">
        <f>Assumptions!$C$51</f>
        <v>0</v>
      </c>
      <c r="X60" s="32" t="s">
        <v>24</v>
      </c>
      <c r="Y60" s="28"/>
      <c r="Z60" s="28"/>
      <c r="AA60" s="28"/>
      <c r="AB60" s="28"/>
      <c r="AC60" s="33">
        <f>SUM(AC39:AC57)*W60</f>
        <v>0</v>
      </c>
      <c r="AE60" s="17" t="s">
        <v>23</v>
      </c>
      <c r="AF60" s="17"/>
      <c r="AG60" s="45">
        <f>Assumptions!$C$51</f>
        <v>0</v>
      </c>
      <c r="AH60" s="32" t="s">
        <v>24</v>
      </c>
      <c r="AI60" s="28"/>
      <c r="AJ60" s="28"/>
      <c r="AK60" s="28"/>
      <c r="AL60" s="28"/>
      <c r="AM60" s="33">
        <f>SUM(AM39:AM57)*AG60</f>
        <v>0</v>
      </c>
    </row>
    <row r="61" spans="1:39" ht="11.1" customHeight="1">
      <c r="A61" s="17" t="s">
        <v>25</v>
      </c>
      <c r="B61" s="17"/>
      <c r="C61" s="155" t="s">
        <v>155</v>
      </c>
      <c r="D61" s="45">
        <f>Assumptions!$D$52</f>
        <v>0.2</v>
      </c>
      <c r="E61" s="32" t="s">
        <v>26</v>
      </c>
      <c r="F61" s="155" t="s">
        <v>156</v>
      </c>
      <c r="G61" s="45">
        <f>Assumptions!$G$52</f>
        <v>0.06</v>
      </c>
      <c r="H61" s="32" t="s">
        <v>26</v>
      </c>
      <c r="I61" s="33">
        <f>SUM(I15:I19)*D61+SUM(I22:I34)*G61</f>
        <v>11104975.26</v>
      </c>
      <c r="K61" s="17" t="s">
        <v>25</v>
      </c>
      <c r="L61" s="17"/>
      <c r="M61" s="155" t="s">
        <v>155</v>
      </c>
      <c r="N61" s="45">
        <f>Assumptions!$D$52</f>
        <v>0.2</v>
      </c>
      <c r="O61" s="32" t="s">
        <v>26</v>
      </c>
      <c r="P61" s="155" t="s">
        <v>156</v>
      </c>
      <c r="Q61" s="45">
        <f>Assumptions!$G$52</f>
        <v>0.06</v>
      </c>
      <c r="R61" s="32" t="s">
        <v>26</v>
      </c>
      <c r="S61" s="33">
        <f>SUM(S15:S19)*N61+SUM(S22:S34)*Q61</f>
        <v>10024625.28</v>
      </c>
      <c r="U61" s="17" t="s">
        <v>25</v>
      </c>
      <c r="V61" s="17"/>
      <c r="W61" s="155" t="s">
        <v>155</v>
      </c>
      <c r="X61" s="45">
        <f>Assumptions!$D$52</f>
        <v>0.2</v>
      </c>
      <c r="Y61" s="32" t="s">
        <v>26</v>
      </c>
      <c r="Z61" s="155" t="s">
        <v>156</v>
      </c>
      <c r="AA61" s="45">
        <f>Assumptions!$G$52</f>
        <v>0.06</v>
      </c>
      <c r="AB61" s="32" t="s">
        <v>26</v>
      </c>
      <c r="AC61" s="33">
        <f>SUM(AC15:AC19)*X61+SUM(AC22:AC34)*AA61</f>
        <v>8958575.76</v>
      </c>
      <c r="AE61" s="17" t="s">
        <v>25</v>
      </c>
      <c r="AF61" s="17"/>
      <c r="AG61" s="155" t="s">
        <v>155</v>
      </c>
      <c r="AH61" s="45">
        <f>Assumptions!$D$52</f>
        <v>0.2</v>
      </c>
      <c r="AI61" s="32" t="s">
        <v>26</v>
      </c>
      <c r="AJ61" s="155" t="s">
        <v>156</v>
      </c>
      <c r="AK61" s="45">
        <f>Assumptions!$G$52</f>
        <v>0.06</v>
      </c>
      <c r="AL61" s="32" t="s">
        <v>26</v>
      </c>
      <c r="AM61" s="33">
        <f>SUM(AM15:AM19)*AH61+SUM(AM22:AM34)*AK61</f>
        <v>8332907.28</v>
      </c>
    </row>
    <row r="62" spans="1:39" ht="11.1" customHeight="1">
      <c r="A62" s="26"/>
      <c r="B62" s="26"/>
      <c r="C62" s="26"/>
      <c r="D62" s="26"/>
      <c r="E62" s="26"/>
      <c r="F62" s="26"/>
      <c r="G62" s="26"/>
      <c r="H62" s="26"/>
      <c r="I62" s="40"/>
      <c r="K62" s="26"/>
      <c r="L62" s="26"/>
      <c r="M62" s="26"/>
      <c r="N62" s="26"/>
      <c r="O62" s="26"/>
      <c r="P62" s="26"/>
      <c r="Q62" s="26"/>
      <c r="R62" s="26"/>
      <c r="S62" s="40"/>
      <c r="U62" s="26"/>
      <c r="V62" s="26"/>
      <c r="W62" s="26"/>
      <c r="X62" s="26"/>
      <c r="Y62" s="26"/>
      <c r="Z62" s="26"/>
      <c r="AA62" s="26"/>
      <c r="AB62" s="26"/>
      <c r="AC62" s="40"/>
      <c r="AE62" s="26"/>
      <c r="AF62" s="26"/>
      <c r="AG62" s="26"/>
      <c r="AH62" s="26"/>
      <c r="AI62" s="26"/>
      <c r="AJ62" s="26"/>
      <c r="AK62" s="26"/>
      <c r="AL62" s="26"/>
      <c r="AM62" s="40"/>
    </row>
    <row r="63" spans="1:39" ht="11.1" customHeight="1">
      <c r="A63" s="25" t="s">
        <v>27</v>
      </c>
      <c r="B63" s="26"/>
      <c r="C63" s="26"/>
      <c r="D63" s="26"/>
      <c r="E63" s="26"/>
      <c r="F63" s="26"/>
      <c r="G63" s="26"/>
      <c r="H63" s="26"/>
      <c r="I63" s="42">
        <f>SUM(I39:I62)</f>
        <v>53153193.577703193</v>
      </c>
      <c r="K63" s="25" t="s">
        <v>27</v>
      </c>
      <c r="L63" s="26"/>
      <c r="M63" s="26"/>
      <c r="N63" s="26"/>
      <c r="O63" s="26"/>
      <c r="P63" s="26"/>
      <c r="Q63" s="26"/>
      <c r="R63" s="26"/>
      <c r="S63" s="42">
        <f>SUM(S39:S62)</f>
        <v>50552355.958942577</v>
      </c>
      <c r="U63" s="25" t="s">
        <v>27</v>
      </c>
      <c r="V63" s="26"/>
      <c r="W63" s="26"/>
      <c r="X63" s="26"/>
      <c r="Y63" s="26"/>
      <c r="Z63" s="26"/>
      <c r="AA63" s="26"/>
      <c r="AB63" s="26"/>
      <c r="AC63" s="42">
        <f>SUM(AC39:AC62)</f>
        <v>48040966.590327136</v>
      </c>
      <c r="AE63" s="25" t="s">
        <v>27</v>
      </c>
      <c r="AF63" s="26"/>
      <c r="AG63" s="26"/>
      <c r="AH63" s="26"/>
      <c r="AI63" s="26"/>
      <c r="AJ63" s="26"/>
      <c r="AK63" s="26"/>
      <c r="AL63" s="26"/>
      <c r="AM63" s="42">
        <f>SUM(AM39:AM62)</f>
        <v>46843381.827366173</v>
      </c>
    </row>
    <row r="64" spans="1:39" ht="11.1" customHeight="1">
      <c r="A64" s="28"/>
      <c r="B64" s="28"/>
      <c r="C64" s="28"/>
      <c r="D64" s="28"/>
      <c r="E64" s="28"/>
      <c r="F64" s="28"/>
      <c r="G64" s="28"/>
      <c r="H64" s="28"/>
      <c r="I64" s="51"/>
      <c r="K64" s="28"/>
      <c r="L64" s="28"/>
      <c r="M64" s="28"/>
      <c r="N64" s="28"/>
      <c r="O64" s="28"/>
      <c r="P64" s="28"/>
      <c r="Q64" s="28"/>
      <c r="R64" s="28"/>
      <c r="S64" s="51"/>
      <c r="U64" s="28"/>
      <c r="V64" s="28"/>
      <c r="W64" s="28"/>
      <c r="X64" s="28"/>
      <c r="Y64" s="28"/>
      <c r="Z64" s="28"/>
      <c r="AA64" s="28"/>
      <c r="AB64" s="28"/>
      <c r="AC64" s="51"/>
      <c r="AE64" s="28"/>
      <c r="AF64" s="28"/>
      <c r="AG64" s="28"/>
      <c r="AH64" s="28"/>
      <c r="AI64" s="28"/>
      <c r="AJ64" s="28"/>
      <c r="AK64" s="28"/>
      <c r="AL64" s="28"/>
      <c r="AM64" s="51"/>
    </row>
    <row r="65" spans="1:39" ht="11.1" customHeight="1">
      <c r="A65" s="52" t="s">
        <v>28</v>
      </c>
      <c r="B65" s="53"/>
      <c r="C65" s="53"/>
      <c r="D65" s="53"/>
      <c r="E65" s="53"/>
      <c r="F65" s="53"/>
      <c r="G65" s="53"/>
      <c r="H65" s="53"/>
      <c r="I65" s="54">
        <f>I36-I63</f>
        <v>3960977.4222968072</v>
      </c>
      <c r="K65" s="52" t="s">
        <v>28</v>
      </c>
      <c r="L65" s="53"/>
      <c r="M65" s="53"/>
      <c r="N65" s="53"/>
      <c r="O65" s="53"/>
      <c r="P65" s="53"/>
      <c r="Q65" s="53"/>
      <c r="R65" s="53"/>
      <c r="S65" s="54">
        <f>S36-S63</f>
        <v>2774732.0410574228</v>
      </c>
      <c r="U65" s="52" t="s">
        <v>28</v>
      </c>
      <c r="V65" s="53"/>
      <c r="W65" s="53"/>
      <c r="X65" s="53"/>
      <c r="Y65" s="53"/>
      <c r="Z65" s="53"/>
      <c r="AA65" s="53"/>
      <c r="AB65" s="53"/>
      <c r="AC65" s="54">
        <f>AC36-AC63</f>
        <v>1737379.4096728638</v>
      </c>
      <c r="AE65" s="52" t="s">
        <v>28</v>
      </c>
      <c r="AF65" s="53"/>
      <c r="AG65" s="53"/>
      <c r="AH65" s="53"/>
      <c r="AI65" s="53"/>
      <c r="AJ65" s="53"/>
      <c r="AK65" s="53"/>
      <c r="AL65" s="53"/>
      <c r="AM65" s="54">
        <f>AM36-AM63</f>
        <v>2350906.1726338267</v>
      </c>
    </row>
    <row r="66" spans="1:39" ht="11.1" customHeight="1">
      <c r="A66" s="52" t="s">
        <v>107</v>
      </c>
      <c r="B66" s="53"/>
      <c r="C66" s="53"/>
      <c r="D66" s="53"/>
      <c r="E66" s="53"/>
      <c r="F66" s="53"/>
      <c r="G66" s="53"/>
      <c r="H66" s="53"/>
      <c r="I66" s="54">
        <f>I65/D12</f>
        <v>140.83475279277536</v>
      </c>
      <c r="K66" s="52" t="s">
        <v>107</v>
      </c>
      <c r="L66" s="53"/>
      <c r="M66" s="53"/>
      <c r="N66" s="53"/>
      <c r="O66" s="53"/>
      <c r="P66" s="53"/>
      <c r="Q66" s="53"/>
      <c r="R66" s="53"/>
      <c r="S66" s="54">
        <f>S65/N12</f>
        <v>110.98928164229692</v>
      </c>
      <c r="U66" s="52" t="s">
        <v>107</v>
      </c>
      <c r="V66" s="53"/>
      <c r="W66" s="53"/>
      <c r="X66" s="53"/>
      <c r="Y66" s="53"/>
      <c r="Z66" s="53"/>
      <c r="AA66" s="53"/>
      <c r="AB66" s="53"/>
      <c r="AC66" s="54">
        <f>AC65/X12</f>
        <v>79.423058727902344</v>
      </c>
      <c r="AE66" s="52" t="s">
        <v>107</v>
      </c>
      <c r="AF66" s="53"/>
      <c r="AG66" s="53"/>
      <c r="AH66" s="53"/>
      <c r="AI66" s="53"/>
      <c r="AJ66" s="53"/>
      <c r="AK66" s="53"/>
      <c r="AL66" s="53"/>
      <c r="AM66" s="54">
        <f>AM65/AH12</f>
        <v>125.38166254047076</v>
      </c>
    </row>
    <row r="67" ht="11.1" customHeight="1"/>
    <row r="68" ht="11.1" customHeight="1"/>
    <row r="69" spans="1:39" ht="11.1" customHeight="1">
      <c r="A69" s="5"/>
      <c r="B69" s="14"/>
      <c r="C69" s="14"/>
      <c r="D69" s="15"/>
      <c r="E69" s="14"/>
      <c r="F69" s="14"/>
      <c r="G69" s="14"/>
      <c r="H69" s="14"/>
      <c r="I69" s="14"/>
      <c r="K69" s="5"/>
      <c r="L69" s="14"/>
      <c r="M69" s="14"/>
      <c r="N69" s="15"/>
      <c r="O69" s="14"/>
      <c r="P69" s="14"/>
      <c r="Q69" s="14"/>
      <c r="R69" s="14"/>
      <c r="S69" s="14"/>
      <c r="U69" s="5"/>
      <c r="V69" s="14"/>
      <c r="W69" s="14"/>
      <c r="X69" s="15"/>
      <c r="Y69" s="14"/>
      <c r="Z69" s="14"/>
      <c r="AA69" s="14"/>
      <c r="AB69" s="14"/>
      <c r="AC69" s="14"/>
      <c r="AE69" s="5"/>
      <c r="AF69" s="14"/>
      <c r="AG69" s="14"/>
      <c r="AH69" s="15"/>
      <c r="AI69" s="14"/>
      <c r="AJ69" s="14"/>
      <c r="AK69" s="14"/>
      <c r="AL69" s="14"/>
      <c r="AM69" s="14"/>
    </row>
    <row r="70" spans="1:39" ht="11.1" customHeight="1">
      <c r="A70" s="5"/>
      <c r="B70" s="5"/>
      <c r="C70" s="5"/>
      <c r="D70" s="310" t="s">
        <v>79</v>
      </c>
      <c r="E70" s="310"/>
      <c r="F70" s="310"/>
      <c r="G70" s="310"/>
      <c r="H70" s="310"/>
      <c r="I70" s="310"/>
      <c r="K70" s="5"/>
      <c r="L70" s="5"/>
      <c r="M70" s="5"/>
      <c r="N70" s="310" t="s">
        <v>79</v>
      </c>
      <c r="O70" s="310"/>
      <c r="P70" s="310"/>
      <c r="Q70" s="310"/>
      <c r="R70" s="310"/>
      <c r="S70" s="310"/>
      <c r="U70" s="5"/>
      <c r="V70" s="5"/>
      <c r="W70" s="5"/>
      <c r="X70" s="310" t="s">
        <v>79</v>
      </c>
      <c r="Y70" s="310"/>
      <c r="Z70" s="310"/>
      <c r="AA70" s="310"/>
      <c r="AB70" s="310"/>
      <c r="AC70" s="310"/>
      <c r="AE70" s="5"/>
      <c r="AF70" s="5"/>
      <c r="AG70" s="5"/>
      <c r="AH70" s="310" t="s">
        <v>79</v>
      </c>
      <c r="AI70" s="310"/>
      <c r="AJ70" s="310"/>
      <c r="AK70" s="310"/>
      <c r="AL70" s="310"/>
      <c r="AM70" s="310"/>
    </row>
    <row r="71" spans="1:39" ht="11.1" customHeight="1">
      <c r="A71" s="5"/>
      <c r="B71" s="5"/>
      <c r="C71" s="5"/>
      <c r="D71" s="310"/>
      <c r="E71" s="310"/>
      <c r="F71" s="310"/>
      <c r="G71" s="310"/>
      <c r="H71" s="310"/>
      <c r="I71" s="310"/>
      <c r="K71" s="5"/>
      <c r="L71" s="5"/>
      <c r="M71" s="5"/>
      <c r="N71" s="310"/>
      <c r="O71" s="310"/>
      <c r="P71" s="310"/>
      <c r="Q71" s="310"/>
      <c r="R71" s="310"/>
      <c r="S71" s="310"/>
      <c r="U71" s="5"/>
      <c r="V71" s="5"/>
      <c r="W71" s="5"/>
      <c r="X71" s="310"/>
      <c r="Y71" s="310"/>
      <c r="Z71" s="310"/>
      <c r="AA71" s="310"/>
      <c r="AB71" s="310"/>
      <c r="AC71" s="310"/>
      <c r="AE71" s="5"/>
      <c r="AF71" s="5"/>
      <c r="AG71" s="5"/>
      <c r="AH71" s="310"/>
      <c r="AI71" s="310"/>
      <c r="AJ71" s="310"/>
      <c r="AK71" s="310"/>
      <c r="AL71" s="310"/>
      <c r="AM71" s="310"/>
    </row>
    <row r="72" spans="1:39" ht="11.1" customHeight="1">
      <c r="A72" s="5"/>
      <c r="B72" s="5"/>
      <c r="C72" s="5"/>
      <c r="D72" s="310"/>
      <c r="E72" s="310"/>
      <c r="F72" s="310"/>
      <c r="G72" s="310"/>
      <c r="H72" s="310"/>
      <c r="I72" s="310"/>
      <c r="K72" s="5"/>
      <c r="L72" s="5"/>
      <c r="M72" s="5"/>
      <c r="N72" s="310"/>
      <c r="O72" s="310"/>
      <c r="P72" s="310"/>
      <c r="Q72" s="310"/>
      <c r="R72" s="310"/>
      <c r="S72" s="310"/>
      <c r="U72" s="5"/>
      <c r="V72" s="5"/>
      <c r="W72" s="5"/>
      <c r="X72" s="310"/>
      <c r="Y72" s="310"/>
      <c r="Z72" s="310"/>
      <c r="AA72" s="310"/>
      <c r="AB72" s="310"/>
      <c r="AC72" s="310"/>
      <c r="AE72" s="5"/>
      <c r="AF72" s="5"/>
      <c r="AG72" s="5"/>
      <c r="AH72" s="310"/>
      <c r="AI72" s="310"/>
      <c r="AJ72" s="310"/>
      <c r="AK72" s="310"/>
      <c r="AL72" s="310"/>
      <c r="AM72" s="310"/>
    </row>
    <row r="73" spans="1:39" ht="11.1" customHeight="1">
      <c r="A73" s="5"/>
      <c r="B73" s="5"/>
      <c r="C73" s="5"/>
      <c r="D73" s="5"/>
      <c r="E73" s="5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U73" s="5"/>
      <c r="V73" s="5"/>
      <c r="W73" s="5"/>
      <c r="X73" s="5"/>
      <c r="Y73" s="5"/>
      <c r="Z73" s="5"/>
      <c r="AA73" s="5"/>
      <c r="AB73" s="5"/>
      <c r="AC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1.1" customHeight="1">
      <c r="A74" s="16" t="s">
        <v>0</v>
      </c>
      <c r="B74" s="16"/>
      <c r="C74" s="17"/>
      <c r="D74" s="80" t="str">
        <f>Assumptions!$B$69</f>
        <v>Medium Scale Mixed Development</v>
      </c>
      <c r="E74" s="75"/>
      <c r="F74" s="75"/>
      <c r="G74" s="76"/>
      <c r="H74" s="30" t="s">
        <v>36</v>
      </c>
      <c r="I74" s="62">
        <f>Assumptions!$C$70</f>
        <v>0</v>
      </c>
      <c r="K74" s="16" t="s">
        <v>0</v>
      </c>
      <c r="L74" s="16"/>
      <c r="M74" s="17"/>
      <c r="N74" s="80" t="str">
        <f>Assumptions!$B$69</f>
        <v>Medium Scale Mixed Development</v>
      </c>
      <c r="O74" s="75"/>
      <c r="P74" s="75"/>
      <c r="Q74" s="76"/>
      <c r="R74" s="30" t="s">
        <v>36</v>
      </c>
      <c r="S74" s="62">
        <f>Assumptions!$C$70</f>
        <v>0</v>
      </c>
      <c r="U74" s="16" t="s">
        <v>0</v>
      </c>
      <c r="V74" s="16"/>
      <c r="W74" s="17"/>
      <c r="X74" s="80" t="str">
        <f>Assumptions!$B$69</f>
        <v>Medium Scale Mixed Development</v>
      </c>
      <c r="Y74" s="75"/>
      <c r="Z74" s="75"/>
      <c r="AA74" s="76"/>
      <c r="AB74" s="30" t="s">
        <v>36</v>
      </c>
      <c r="AC74" s="62">
        <f>Assumptions!$C$70</f>
        <v>0</v>
      </c>
      <c r="AE74" s="16" t="s">
        <v>0</v>
      </c>
      <c r="AF74" s="16"/>
      <c r="AG74" s="17"/>
      <c r="AH74" s="80" t="str">
        <f>Assumptions!$B$69</f>
        <v>Medium Scale Mixed Development</v>
      </c>
      <c r="AI74" s="75"/>
      <c r="AJ74" s="75"/>
      <c r="AK74" s="76"/>
      <c r="AL74" s="30" t="s">
        <v>36</v>
      </c>
      <c r="AM74" s="62">
        <f>Assumptions!$C$70</f>
        <v>0</v>
      </c>
    </row>
    <row r="75" spans="1:39" ht="11.1" customHeight="1">
      <c r="A75" s="16" t="s">
        <v>1</v>
      </c>
      <c r="B75" s="17"/>
      <c r="C75" s="17"/>
      <c r="D75" s="80" t="str">
        <f>'Land Values'!$A$12</f>
        <v>Brownfield</v>
      </c>
      <c r="E75" s="75"/>
      <c r="F75" s="75"/>
      <c r="G75" s="77"/>
      <c r="H75" s="30" t="s">
        <v>37</v>
      </c>
      <c r="I75" s="62">
        <f>Assumptions!$C$71</f>
        <v>50</v>
      </c>
      <c r="K75" s="16" t="s">
        <v>1</v>
      </c>
      <c r="L75" s="17"/>
      <c r="M75" s="17"/>
      <c r="N75" s="80" t="str">
        <f>'Land Values'!$A$12</f>
        <v>Brownfield</v>
      </c>
      <c r="O75" s="75"/>
      <c r="P75" s="75"/>
      <c r="Q75" s="77"/>
      <c r="R75" s="30" t="s">
        <v>37</v>
      </c>
      <c r="S75" s="62">
        <f>Assumptions!$C$71</f>
        <v>50</v>
      </c>
      <c r="U75" s="16" t="s">
        <v>1</v>
      </c>
      <c r="V75" s="17"/>
      <c r="W75" s="17"/>
      <c r="X75" s="80" t="str">
        <f>'Land Values'!$A$12</f>
        <v>Brownfield</v>
      </c>
      <c r="Y75" s="75"/>
      <c r="Z75" s="75"/>
      <c r="AA75" s="77"/>
      <c r="AB75" s="30" t="s">
        <v>37</v>
      </c>
      <c r="AC75" s="62">
        <f>Assumptions!$C$71</f>
        <v>50</v>
      </c>
      <c r="AE75" s="16" t="s">
        <v>1</v>
      </c>
      <c r="AF75" s="17"/>
      <c r="AG75" s="17"/>
      <c r="AH75" s="80" t="str">
        <f>'Land Values'!$A$12</f>
        <v>Brownfield</v>
      </c>
      <c r="AI75" s="75"/>
      <c r="AJ75" s="75"/>
      <c r="AK75" s="77"/>
      <c r="AL75" s="30" t="s">
        <v>37</v>
      </c>
      <c r="AM75" s="62">
        <f>Assumptions!$C$71</f>
        <v>50</v>
      </c>
    </row>
    <row r="76" spans="1:39" ht="11.1" customHeight="1">
      <c r="A76" s="16" t="s">
        <v>2</v>
      </c>
      <c r="B76" s="16"/>
      <c r="C76" s="17"/>
      <c r="D76" s="81" t="str">
        <f>Assumptions!A13</f>
        <v>Malpas &amp; Bettws</v>
      </c>
      <c r="E76" s="78"/>
      <c r="F76" s="78"/>
      <c r="G76" s="79"/>
      <c r="H76" s="30" t="s">
        <v>38</v>
      </c>
      <c r="I76" s="62">
        <f>Assumptions!$C$72</f>
        <v>125</v>
      </c>
      <c r="K76" s="16" t="s">
        <v>2</v>
      </c>
      <c r="L76" s="16"/>
      <c r="M76" s="17"/>
      <c r="N76" s="275" t="str">
        <f>Assumptions!A14</f>
        <v>Newport East </v>
      </c>
      <c r="O76" s="276"/>
      <c r="P76" s="276"/>
      <c r="Q76" s="277"/>
      <c r="R76" s="30" t="s">
        <v>38</v>
      </c>
      <c r="S76" s="62">
        <f>Assumptions!$C$72</f>
        <v>125</v>
      </c>
      <c r="U76" s="16" t="s">
        <v>2</v>
      </c>
      <c r="V76" s="16"/>
      <c r="W76" s="17"/>
      <c r="X76" s="272" t="str">
        <f>Assumptions!A15</f>
        <v>Rog/Newport West </v>
      </c>
      <c r="Y76" s="273"/>
      <c r="Z76" s="273"/>
      <c r="AA76" s="274"/>
      <c r="AB76" s="30" t="s">
        <v>38</v>
      </c>
      <c r="AC76" s="62">
        <f>Assumptions!$C$72</f>
        <v>125</v>
      </c>
      <c r="AE76" s="16" t="s">
        <v>2</v>
      </c>
      <c r="AF76" s="16"/>
      <c r="AG76" s="17"/>
      <c r="AH76" s="269" t="str">
        <f>Assumptions!A16</f>
        <v>Caerleon/Rural</v>
      </c>
      <c r="AI76" s="270"/>
      <c r="AJ76" s="270"/>
      <c r="AK76" s="271"/>
      <c r="AL76" s="30" t="s">
        <v>38</v>
      </c>
      <c r="AM76" s="62">
        <f>Assumptions!$C$72</f>
        <v>125</v>
      </c>
    </row>
    <row r="77" spans="1:39" ht="11.1" customHeight="1">
      <c r="A77" s="16" t="s">
        <v>3</v>
      </c>
      <c r="B77" s="16"/>
      <c r="C77" s="17"/>
      <c r="D77" s="63">
        <f>SUM(I74:I78)</f>
        <v>300</v>
      </c>
      <c r="E77" s="55" t="s">
        <v>95</v>
      </c>
      <c r="F77" s="17"/>
      <c r="G77" s="19"/>
      <c r="H77" s="30" t="s">
        <v>39</v>
      </c>
      <c r="I77" s="62">
        <f>Assumptions!$C$73</f>
        <v>75</v>
      </c>
      <c r="K77" s="16" t="s">
        <v>3</v>
      </c>
      <c r="L77" s="16"/>
      <c r="M77" s="17"/>
      <c r="N77" s="63">
        <f>SUM(S74:S78)</f>
        <v>300</v>
      </c>
      <c r="O77" s="55" t="s">
        <v>95</v>
      </c>
      <c r="P77" s="17"/>
      <c r="Q77" s="19"/>
      <c r="R77" s="30" t="s">
        <v>39</v>
      </c>
      <c r="S77" s="62">
        <f>Assumptions!$C$73</f>
        <v>75</v>
      </c>
      <c r="U77" s="16" t="s">
        <v>3</v>
      </c>
      <c r="V77" s="16"/>
      <c r="W77" s="17"/>
      <c r="X77" s="63">
        <f>SUM(AC74:AC78)</f>
        <v>300</v>
      </c>
      <c r="Y77" s="55" t="s">
        <v>95</v>
      </c>
      <c r="Z77" s="17"/>
      <c r="AA77" s="19"/>
      <c r="AB77" s="30" t="s">
        <v>39</v>
      </c>
      <c r="AC77" s="62">
        <f>Assumptions!$C$73</f>
        <v>75</v>
      </c>
      <c r="AE77" s="16" t="s">
        <v>3</v>
      </c>
      <c r="AF77" s="16"/>
      <c r="AG77" s="17"/>
      <c r="AH77" s="63">
        <f>SUM(AM74:AM78)</f>
        <v>300</v>
      </c>
      <c r="AI77" s="55" t="s">
        <v>95</v>
      </c>
      <c r="AJ77" s="17"/>
      <c r="AK77" s="19"/>
      <c r="AL77" s="30" t="s">
        <v>39</v>
      </c>
      <c r="AM77" s="62">
        <f>Assumptions!$C$73</f>
        <v>75</v>
      </c>
    </row>
    <row r="78" spans="1:39" ht="11.1" customHeight="1">
      <c r="A78" s="16" t="s">
        <v>81</v>
      </c>
      <c r="B78" s="17"/>
      <c r="C78" s="22">
        <f>Assumptions!$C$13</f>
        <v>0.1</v>
      </c>
      <c r="D78" s="63">
        <f>D77*C78</f>
        <v>30</v>
      </c>
      <c r="E78" s="55" t="s">
        <v>83</v>
      </c>
      <c r="F78" s="19"/>
      <c r="G78" s="21"/>
      <c r="H78" s="30" t="s">
        <v>40</v>
      </c>
      <c r="I78" s="62">
        <f>Assumptions!$C$74</f>
        <v>50</v>
      </c>
      <c r="K78" s="16" t="s">
        <v>81</v>
      </c>
      <c r="L78" s="17"/>
      <c r="M78" s="22">
        <f>Assumptions!$C$14</f>
        <v>0.2</v>
      </c>
      <c r="N78" s="63">
        <f>N77*M78</f>
        <v>60</v>
      </c>
      <c r="O78" s="55" t="s">
        <v>83</v>
      </c>
      <c r="P78" s="19"/>
      <c r="Q78" s="21"/>
      <c r="R78" s="30" t="s">
        <v>40</v>
      </c>
      <c r="S78" s="62">
        <f>Assumptions!$C$74</f>
        <v>50</v>
      </c>
      <c r="U78" s="16" t="s">
        <v>81</v>
      </c>
      <c r="V78" s="17"/>
      <c r="W78" s="22">
        <f>Assumptions!$C$15</f>
        <v>0.3</v>
      </c>
      <c r="X78" s="63">
        <f>X77*W78</f>
        <v>90</v>
      </c>
      <c r="Y78" s="55" t="s">
        <v>83</v>
      </c>
      <c r="Z78" s="19"/>
      <c r="AA78" s="21"/>
      <c r="AB78" s="30" t="s">
        <v>40</v>
      </c>
      <c r="AC78" s="62">
        <f>Assumptions!$C$74</f>
        <v>50</v>
      </c>
      <c r="AE78" s="16" t="s">
        <v>81</v>
      </c>
      <c r="AF78" s="17"/>
      <c r="AG78" s="22">
        <f>Assumptions!$C$16</f>
        <v>0.4</v>
      </c>
      <c r="AH78" s="63">
        <f>AH77*AG78</f>
        <v>120</v>
      </c>
      <c r="AI78" s="55" t="s">
        <v>83</v>
      </c>
      <c r="AJ78" s="19"/>
      <c r="AK78" s="21"/>
      <c r="AL78" s="30" t="s">
        <v>40</v>
      </c>
      <c r="AM78" s="62">
        <f>Assumptions!$C$74</f>
        <v>50</v>
      </c>
    </row>
    <row r="79" spans="1:39" ht="11.1" customHeight="1">
      <c r="A79" s="16" t="s">
        <v>84</v>
      </c>
      <c r="B79" s="17"/>
      <c r="C79" s="64">
        <f>Assumptions!$D$13</f>
        <v>1</v>
      </c>
      <c r="D79" s="30" t="s">
        <v>33</v>
      </c>
      <c r="E79" s="22">
        <f>Assumptions!$E$13</f>
        <v>0</v>
      </c>
      <c r="F79" s="30" t="s">
        <v>34</v>
      </c>
      <c r="G79" s="65">
        <f>Assumptions!$F$13</f>
        <v>0</v>
      </c>
      <c r="H79" s="55" t="s">
        <v>35</v>
      </c>
      <c r="I79" s="11"/>
      <c r="K79" s="16" t="s">
        <v>84</v>
      </c>
      <c r="L79" s="17"/>
      <c r="M79" s="64">
        <f>Assumptions!$D$14</f>
        <v>1</v>
      </c>
      <c r="N79" s="30" t="s">
        <v>33</v>
      </c>
      <c r="O79" s="22">
        <f>Assumptions!$E$14</f>
        <v>0</v>
      </c>
      <c r="P79" s="30" t="s">
        <v>34</v>
      </c>
      <c r="Q79" s="65">
        <f>Assumptions!$F$14</f>
        <v>0</v>
      </c>
      <c r="R79" s="55" t="s">
        <v>35</v>
      </c>
      <c r="S79" s="11"/>
      <c r="U79" s="16" t="s">
        <v>84</v>
      </c>
      <c r="V79" s="17"/>
      <c r="W79" s="64">
        <f>Assumptions!$D$15</f>
        <v>1</v>
      </c>
      <c r="X79" s="30" t="s">
        <v>33</v>
      </c>
      <c r="Y79" s="22">
        <f>Assumptions!$E$15</f>
        <v>0</v>
      </c>
      <c r="Z79" s="30" t="s">
        <v>34</v>
      </c>
      <c r="AA79" s="65">
        <f>Assumptions!$F$15</f>
        <v>0</v>
      </c>
      <c r="AB79" s="55" t="s">
        <v>35</v>
      </c>
      <c r="AC79" s="11"/>
      <c r="AE79" s="16" t="s">
        <v>84</v>
      </c>
      <c r="AF79" s="17"/>
      <c r="AG79" s="64">
        <f>Assumptions!$D$16</f>
        <v>1</v>
      </c>
      <c r="AH79" s="30" t="s">
        <v>33</v>
      </c>
      <c r="AI79" s="22">
        <f>Assumptions!$E$16</f>
        <v>0</v>
      </c>
      <c r="AJ79" s="30" t="s">
        <v>34</v>
      </c>
      <c r="AK79" s="65">
        <f>Assumptions!$F$16</f>
        <v>0</v>
      </c>
      <c r="AL79" s="55" t="s">
        <v>35</v>
      </c>
      <c r="AM79" s="11"/>
    </row>
    <row r="80" spans="1:39" ht="11.1" customHeight="1">
      <c r="A80" s="16" t="s">
        <v>85</v>
      </c>
      <c r="B80" s="17"/>
      <c r="C80" s="17"/>
      <c r="D80" s="23">
        <f>(A83*C83)+(A84*C84)+(A85*C85)+(A86*C86)+(A87*C87)</f>
        <v>28125</v>
      </c>
      <c r="E80" s="55" t="s">
        <v>86</v>
      </c>
      <c r="F80" s="19"/>
      <c r="G80" s="24">
        <f>SUM(A90*C90)+(A91*C91)+(A92*C92)+(A95*C95)+(A96*C96)+(A97*C97)+(A100*C100)+(A101*C101)+(A102*C102)</f>
        <v>2589</v>
      </c>
      <c r="H80" s="30" t="s">
        <v>87</v>
      </c>
      <c r="I80" s="19"/>
      <c r="K80" s="16" t="s">
        <v>85</v>
      </c>
      <c r="L80" s="17"/>
      <c r="M80" s="17"/>
      <c r="N80" s="23">
        <f>(K83*M83)+(K84*M84)+(K85*M85)+(K86*M86)+(K87*M87)</f>
        <v>25000</v>
      </c>
      <c r="O80" s="55" t="s">
        <v>86</v>
      </c>
      <c r="P80" s="19"/>
      <c r="Q80" s="24">
        <f>SUM(K90*M90)+(K91*M91)+(K92*M92)+(K95*M95)+(K96*M96)+(K97*M97)+(K100*M100)+(K101*M101)+(K102*M102)</f>
        <v>5178</v>
      </c>
      <c r="R80" s="30" t="s">
        <v>87</v>
      </c>
      <c r="S80" s="19"/>
      <c r="U80" s="16" t="s">
        <v>85</v>
      </c>
      <c r="V80" s="17"/>
      <c r="W80" s="17"/>
      <c r="X80" s="23">
        <f>(U83*W83)+(U84*W84)+(U85*W85)+(U86*W86)+(U87*W87)</f>
        <v>21875</v>
      </c>
      <c r="Y80" s="55" t="s">
        <v>86</v>
      </c>
      <c r="Z80" s="19"/>
      <c r="AA80" s="24">
        <f>SUM(U90*W90)+(U91*W91)+(U92*W92)+(U95*W95)+(U96*W96)+(U97*W97)+(U100*W100)+(U101*W101)+(U102*W102)</f>
        <v>7766.9999999999991</v>
      </c>
      <c r="AB80" s="30" t="s">
        <v>87</v>
      </c>
      <c r="AC80" s="19"/>
      <c r="AE80" s="16" t="s">
        <v>85</v>
      </c>
      <c r="AF80" s="17"/>
      <c r="AG80" s="17"/>
      <c r="AH80" s="23">
        <f>(AE83*AG83)+(AE84*AG84)+(AE85*AG85)+(AE86*AG86)+(AE87*AG87)</f>
        <v>18750</v>
      </c>
      <c r="AI80" s="55" t="s">
        <v>86</v>
      </c>
      <c r="AJ80" s="19"/>
      <c r="AK80" s="24">
        <f>SUM(AE90*AG90)+(AE91*AG91)+(AE92*AG92)+(AE95*AG95)+(AE96*AG96)+(AE97*AG97)+(AE100*AG100)+(AE101*AG101)+(AE102*AG102)</f>
        <v>10356</v>
      </c>
      <c r="AL80" s="30" t="s">
        <v>87</v>
      </c>
      <c r="AM80" s="19"/>
    </row>
    <row r="81" spans="1:39" ht="11.1" customHeight="1">
      <c r="A81" s="25" t="s">
        <v>4</v>
      </c>
      <c r="B81" s="26"/>
      <c r="C81" s="26"/>
      <c r="D81" s="26"/>
      <c r="E81" s="26"/>
      <c r="F81" s="26"/>
      <c r="G81" s="26"/>
      <c r="H81" s="26"/>
      <c r="I81" s="27"/>
      <c r="K81" s="25" t="s">
        <v>4</v>
      </c>
      <c r="L81" s="26"/>
      <c r="M81" s="26"/>
      <c r="N81" s="26"/>
      <c r="O81" s="26"/>
      <c r="P81" s="26"/>
      <c r="Q81" s="26"/>
      <c r="R81" s="26"/>
      <c r="S81" s="27"/>
      <c r="U81" s="25" t="s">
        <v>4</v>
      </c>
      <c r="V81" s="26"/>
      <c r="W81" s="26"/>
      <c r="X81" s="26"/>
      <c r="Y81" s="26"/>
      <c r="Z81" s="26"/>
      <c r="AA81" s="26"/>
      <c r="AB81" s="26"/>
      <c r="AC81" s="27"/>
      <c r="AE81" s="25" t="s">
        <v>4</v>
      </c>
      <c r="AF81" s="26"/>
      <c r="AG81" s="26"/>
      <c r="AH81" s="26"/>
      <c r="AI81" s="26"/>
      <c r="AJ81" s="26"/>
      <c r="AK81" s="26"/>
      <c r="AL81" s="26"/>
      <c r="AM81" s="27"/>
    </row>
    <row r="82" spans="1:39" ht="11.1" customHeight="1">
      <c r="A82" s="17" t="s">
        <v>88</v>
      </c>
      <c r="B82" s="17"/>
      <c r="C82" s="28"/>
      <c r="D82" s="28"/>
      <c r="E82" s="28"/>
      <c r="F82" s="28"/>
      <c r="G82" s="28"/>
      <c r="H82" s="28"/>
      <c r="I82" s="19"/>
      <c r="K82" s="17" t="s">
        <v>88</v>
      </c>
      <c r="L82" s="17"/>
      <c r="M82" s="28"/>
      <c r="N82" s="28"/>
      <c r="O82" s="28"/>
      <c r="P82" s="28"/>
      <c r="Q82" s="28"/>
      <c r="R82" s="28"/>
      <c r="S82" s="19"/>
      <c r="U82" s="17" t="s">
        <v>88</v>
      </c>
      <c r="V82" s="17"/>
      <c r="W82" s="28"/>
      <c r="X82" s="28"/>
      <c r="Y82" s="28"/>
      <c r="Z82" s="28"/>
      <c r="AA82" s="28"/>
      <c r="AB82" s="28"/>
      <c r="AC82" s="19"/>
      <c r="AE82" s="17" t="s">
        <v>88</v>
      </c>
      <c r="AF82" s="17"/>
      <c r="AG82" s="28"/>
      <c r="AH82" s="28"/>
      <c r="AI82" s="28"/>
      <c r="AJ82" s="28"/>
      <c r="AK82" s="28"/>
      <c r="AL82" s="28"/>
      <c r="AM82" s="19"/>
    </row>
    <row r="83" spans="1:39" ht="11.1" customHeight="1">
      <c r="A83" s="29">
        <f>I74*(100%-C78)</f>
        <v>0</v>
      </c>
      <c r="B83" s="30" t="s">
        <v>36</v>
      </c>
      <c r="C83" s="31">
        <f>Assumptions!$B$22</f>
        <v>61</v>
      </c>
      <c r="D83" s="32" t="s">
        <v>5</v>
      </c>
      <c r="E83" s="18">
        <f>Assumptions!$C$32</f>
        <v>1950</v>
      </c>
      <c r="F83" s="32" t="s">
        <v>6</v>
      </c>
      <c r="G83" s="28"/>
      <c r="H83" s="28"/>
      <c r="I83" s="33">
        <f>A83*C83*E83</f>
        <v>0</v>
      </c>
      <c r="K83" s="29">
        <f>S74*(100%-M78)</f>
        <v>0</v>
      </c>
      <c r="L83" s="30" t="s">
        <v>36</v>
      </c>
      <c r="M83" s="31">
        <f>Assumptions!$B$22</f>
        <v>61</v>
      </c>
      <c r="N83" s="32" t="s">
        <v>5</v>
      </c>
      <c r="O83" s="18">
        <f>Assumptions!$C$33</f>
        <v>1950</v>
      </c>
      <c r="P83" s="32" t="s">
        <v>6</v>
      </c>
      <c r="Q83" s="28"/>
      <c r="R83" s="28"/>
      <c r="S83" s="33">
        <f>K83*M83*O83</f>
        <v>0</v>
      </c>
      <c r="U83" s="29">
        <f>AC74*(100%-W78)</f>
        <v>0</v>
      </c>
      <c r="V83" s="30" t="s">
        <v>36</v>
      </c>
      <c r="W83" s="31">
        <f>Assumptions!$B$22</f>
        <v>61</v>
      </c>
      <c r="X83" s="32" t="s">
        <v>5</v>
      </c>
      <c r="Y83" s="18">
        <f>Assumptions!$C$34</f>
        <v>1950</v>
      </c>
      <c r="Z83" s="32" t="s">
        <v>6</v>
      </c>
      <c r="AA83" s="28"/>
      <c r="AB83" s="28"/>
      <c r="AC83" s="33">
        <f>U83*W83*Y83</f>
        <v>0</v>
      </c>
      <c r="AE83" s="29">
        <f>AM74*(100%-AG78)</f>
        <v>0</v>
      </c>
      <c r="AF83" s="30" t="s">
        <v>36</v>
      </c>
      <c r="AG83" s="31">
        <f>Assumptions!$B$22</f>
        <v>61</v>
      </c>
      <c r="AH83" s="32" t="s">
        <v>5</v>
      </c>
      <c r="AI83" s="18">
        <f>Assumptions!$C$35</f>
        <v>2050</v>
      </c>
      <c r="AJ83" s="32" t="s">
        <v>6</v>
      </c>
      <c r="AK83" s="28"/>
      <c r="AL83" s="28"/>
      <c r="AM83" s="33">
        <f>AE83*AG83*AI83</f>
        <v>0</v>
      </c>
    </row>
    <row r="84" spans="1:39" ht="11.1" customHeight="1">
      <c r="A84" s="29">
        <f>I75*(100%-C78)</f>
        <v>45</v>
      </c>
      <c r="B84" s="30" t="s">
        <v>37</v>
      </c>
      <c r="C84" s="31">
        <f>Assumptions!$B$23</f>
        <v>75</v>
      </c>
      <c r="D84" s="32" t="s">
        <v>5</v>
      </c>
      <c r="E84" s="18">
        <f>Assumptions!$D$32</f>
        <v>1950</v>
      </c>
      <c r="F84" s="32" t="s">
        <v>6</v>
      </c>
      <c r="G84" s="28"/>
      <c r="H84" s="28"/>
      <c r="I84" s="33">
        <f>A84*C84*E84</f>
        <v>6581250</v>
      </c>
      <c r="K84" s="29">
        <f>S75*(100%-M78)</f>
        <v>40</v>
      </c>
      <c r="L84" s="30" t="s">
        <v>37</v>
      </c>
      <c r="M84" s="31">
        <f>Assumptions!$B$23</f>
        <v>75</v>
      </c>
      <c r="N84" s="32" t="s">
        <v>5</v>
      </c>
      <c r="O84" s="18">
        <f>Assumptions!$D$33</f>
        <v>1950</v>
      </c>
      <c r="P84" s="32" t="s">
        <v>6</v>
      </c>
      <c r="Q84" s="28"/>
      <c r="R84" s="28"/>
      <c r="S84" s="33">
        <f>K84*M84*O84</f>
        <v>5850000</v>
      </c>
      <c r="U84" s="29">
        <f>AC75*(100%-W78)</f>
        <v>35</v>
      </c>
      <c r="V84" s="30" t="s">
        <v>37</v>
      </c>
      <c r="W84" s="31">
        <f>Assumptions!$B$23</f>
        <v>75</v>
      </c>
      <c r="X84" s="32" t="s">
        <v>5</v>
      </c>
      <c r="Y84" s="18">
        <f>Assumptions!$D$34</f>
        <v>1950</v>
      </c>
      <c r="Z84" s="32" t="s">
        <v>6</v>
      </c>
      <c r="AA84" s="28"/>
      <c r="AB84" s="28"/>
      <c r="AC84" s="33">
        <f>U84*W84*Y84</f>
        <v>5118750</v>
      </c>
      <c r="AE84" s="29">
        <f>AM75*(100%-AG78)</f>
        <v>30</v>
      </c>
      <c r="AF84" s="30" t="s">
        <v>37</v>
      </c>
      <c r="AG84" s="31">
        <f>Assumptions!$B$23</f>
        <v>75</v>
      </c>
      <c r="AH84" s="32" t="s">
        <v>5</v>
      </c>
      <c r="AI84" s="18">
        <f>Assumptions!$D$35</f>
        <v>2050</v>
      </c>
      <c r="AJ84" s="32" t="s">
        <v>6</v>
      </c>
      <c r="AK84" s="28"/>
      <c r="AL84" s="28"/>
      <c r="AM84" s="33">
        <f>AE84*AG84*AI84</f>
        <v>4612500</v>
      </c>
    </row>
    <row r="85" spans="1:39" ht="11.1" customHeight="1">
      <c r="A85" s="29">
        <f>I76*(100%-C78)</f>
        <v>112.5</v>
      </c>
      <c r="B85" s="30" t="s">
        <v>38</v>
      </c>
      <c r="C85" s="31">
        <f>Assumptions!$B$24</f>
        <v>88</v>
      </c>
      <c r="D85" s="32" t="s">
        <v>5</v>
      </c>
      <c r="E85" s="18">
        <f>Assumptions!$E$32</f>
        <v>1950</v>
      </c>
      <c r="F85" s="32" t="s">
        <v>6</v>
      </c>
      <c r="G85" s="28"/>
      <c r="H85" s="28"/>
      <c r="I85" s="33">
        <f>A85*C85*E85</f>
        <v>19305000</v>
      </c>
      <c r="K85" s="29">
        <f>S76*(100%-M78)</f>
        <v>100</v>
      </c>
      <c r="L85" s="30" t="s">
        <v>38</v>
      </c>
      <c r="M85" s="31">
        <f>Assumptions!$B$24</f>
        <v>88</v>
      </c>
      <c r="N85" s="32" t="s">
        <v>5</v>
      </c>
      <c r="O85" s="18">
        <f>Assumptions!$E$33</f>
        <v>1950</v>
      </c>
      <c r="P85" s="32" t="s">
        <v>6</v>
      </c>
      <c r="Q85" s="28"/>
      <c r="R85" s="28"/>
      <c r="S85" s="33">
        <f>K85*M85*O85</f>
        <v>17160000</v>
      </c>
      <c r="U85" s="29">
        <f>AC76*(100%-W78)</f>
        <v>87.5</v>
      </c>
      <c r="V85" s="30" t="s">
        <v>38</v>
      </c>
      <c r="W85" s="31">
        <f>Assumptions!$B$24</f>
        <v>88</v>
      </c>
      <c r="X85" s="32" t="s">
        <v>5</v>
      </c>
      <c r="Y85" s="18">
        <f>Assumptions!$E$34</f>
        <v>1950</v>
      </c>
      <c r="Z85" s="32" t="s">
        <v>6</v>
      </c>
      <c r="AA85" s="28"/>
      <c r="AB85" s="28"/>
      <c r="AC85" s="33">
        <f>U85*W85*Y85</f>
        <v>15015000</v>
      </c>
      <c r="AE85" s="29">
        <f>AM76*(100%-AG78)</f>
        <v>75</v>
      </c>
      <c r="AF85" s="30" t="s">
        <v>38</v>
      </c>
      <c r="AG85" s="31">
        <f>Assumptions!$B$24</f>
        <v>88</v>
      </c>
      <c r="AH85" s="32" t="s">
        <v>5</v>
      </c>
      <c r="AI85" s="18">
        <f>Assumptions!$E$35</f>
        <v>2050</v>
      </c>
      <c r="AJ85" s="32" t="s">
        <v>6</v>
      </c>
      <c r="AK85" s="28"/>
      <c r="AL85" s="28"/>
      <c r="AM85" s="33">
        <f>AE85*AG85*AI85</f>
        <v>13530000</v>
      </c>
    </row>
    <row r="86" spans="1:39" ht="11.1" customHeight="1">
      <c r="A86" s="29">
        <f>I77*(100%-C78)</f>
        <v>67.5</v>
      </c>
      <c r="B86" s="30" t="s">
        <v>39</v>
      </c>
      <c r="C86" s="31">
        <f>Assumptions!$B$25</f>
        <v>120</v>
      </c>
      <c r="D86" s="32" t="s">
        <v>5</v>
      </c>
      <c r="E86" s="18">
        <f>Assumptions!$F$32</f>
        <v>1950</v>
      </c>
      <c r="F86" s="32" t="s">
        <v>6</v>
      </c>
      <c r="G86" s="28"/>
      <c r="H86" s="28"/>
      <c r="I86" s="33">
        <f>A86*C86*E86</f>
        <v>15795000</v>
      </c>
      <c r="K86" s="29">
        <f>S77*(100%-M78)</f>
        <v>60</v>
      </c>
      <c r="L86" s="30" t="s">
        <v>39</v>
      </c>
      <c r="M86" s="31">
        <f>Assumptions!$B$25</f>
        <v>120</v>
      </c>
      <c r="N86" s="32" t="s">
        <v>5</v>
      </c>
      <c r="O86" s="18">
        <f>Assumptions!$F$33</f>
        <v>1950</v>
      </c>
      <c r="P86" s="32" t="s">
        <v>6</v>
      </c>
      <c r="Q86" s="28"/>
      <c r="R86" s="28"/>
      <c r="S86" s="33">
        <f>K86*M86*O86</f>
        <v>14040000</v>
      </c>
      <c r="U86" s="29">
        <f>AC77*(100%-W78)</f>
        <v>52.5</v>
      </c>
      <c r="V86" s="30" t="s">
        <v>39</v>
      </c>
      <c r="W86" s="31">
        <f>Assumptions!$B$25</f>
        <v>120</v>
      </c>
      <c r="X86" s="32" t="s">
        <v>5</v>
      </c>
      <c r="Y86" s="18">
        <f>Assumptions!$F$34</f>
        <v>1950</v>
      </c>
      <c r="Z86" s="32" t="s">
        <v>6</v>
      </c>
      <c r="AA86" s="28"/>
      <c r="AB86" s="28"/>
      <c r="AC86" s="33">
        <f>U86*W86*Y86</f>
        <v>12285000</v>
      </c>
      <c r="AE86" s="29">
        <f>AM77*(100%-AG78)</f>
        <v>45</v>
      </c>
      <c r="AF86" s="30" t="s">
        <v>39</v>
      </c>
      <c r="AG86" s="31">
        <f>Assumptions!$B$25</f>
        <v>120</v>
      </c>
      <c r="AH86" s="32" t="s">
        <v>5</v>
      </c>
      <c r="AI86" s="18">
        <f>Assumptions!$F$35</f>
        <v>2050</v>
      </c>
      <c r="AJ86" s="32" t="s">
        <v>6</v>
      </c>
      <c r="AK86" s="28"/>
      <c r="AL86" s="28"/>
      <c r="AM86" s="33">
        <f>AE86*AG86*AI86</f>
        <v>11070000</v>
      </c>
    </row>
    <row r="87" spans="1:39" ht="11.1" customHeight="1">
      <c r="A87" s="29">
        <f>I78*(100%-C78)</f>
        <v>45</v>
      </c>
      <c r="B87" s="30" t="s">
        <v>40</v>
      </c>
      <c r="C87" s="31">
        <f>Assumptions!$B$26</f>
        <v>150</v>
      </c>
      <c r="D87" s="32" t="s">
        <v>5</v>
      </c>
      <c r="E87" s="18">
        <f>Assumptions!$G$32</f>
        <v>1950</v>
      </c>
      <c r="F87" s="32" t="s">
        <v>6</v>
      </c>
      <c r="G87" s="28"/>
      <c r="H87" s="28"/>
      <c r="I87" s="33">
        <f>A87*C87*E87</f>
        <v>13162500</v>
      </c>
      <c r="K87" s="29">
        <f>S78*(100%-M78)</f>
        <v>40</v>
      </c>
      <c r="L87" s="30" t="s">
        <v>40</v>
      </c>
      <c r="M87" s="31">
        <f>Assumptions!$B$26</f>
        <v>150</v>
      </c>
      <c r="N87" s="32" t="s">
        <v>5</v>
      </c>
      <c r="O87" s="18">
        <f>Assumptions!$G$33</f>
        <v>1950</v>
      </c>
      <c r="P87" s="32" t="s">
        <v>6</v>
      </c>
      <c r="Q87" s="28"/>
      <c r="R87" s="28"/>
      <c r="S87" s="33">
        <f>K87*M87*O87</f>
        <v>11700000</v>
      </c>
      <c r="U87" s="29">
        <f>AC78*(100%-W78)</f>
        <v>35</v>
      </c>
      <c r="V87" s="30" t="s">
        <v>40</v>
      </c>
      <c r="W87" s="31">
        <f>Assumptions!$B$26</f>
        <v>150</v>
      </c>
      <c r="X87" s="32" t="s">
        <v>5</v>
      </c>
      <c r="Y87" s="18">
        <f>Assumptions!$G$34</f>
        <v>1950</v>
      </c>
      <c r="Z87" s="32" t="s">
        <v>6</v>
      </c>
      <c r="AA87" s="28"/>
      <c r="AB87" s="28"/>
      <c r="AC87" s="33">
        <f>U87*W87*Y87</f>
        <v>10237500</v>
      </c>
      <c r="AE87" s="29">
        <f>AM78*(100%-AG78)</f>
        <v>30</v>
      </c>
      <c r="AF87" s="30" t="s">
        <v>40</v>
      </c>
      <c r="AG87" s="31">
        <f>Assumptions!$B$26</f>
        <v>150</v>
      </c>
      <c r="AH87" s="32" t="s">
        <v>5</v>
      </c>
      <c r="AI87" s="18">
        <f>Assumptions!$G$35</f>
        <v>2050</v>
      </c>
      <c r="AJ87" s="32" t="s">
        <v>6</v>
      </c>
      <c r="AK87" s="28"/>
      <c r="AL87" s="28"/>
      <c r="AM87" s="33">
        <f>AE87*AG87*AI87</f>
        <v>9225000</v>
      </c>
    </row>
    <row r="88" spans="1:39" ht="11.1" customHeight="1">
      <c r="A88" s="26"/>
      <c r="B88" s="26"/>
      <c r="C88" s="26"/>
      <c r="D88" s="34"/>
      <c r="E88" s="26"/>
      <c r="F88" s="34"/>
      <c r="G88" s="26"/>
      <c r="H88" s="26"/>
      <c r="I88" s="35"/>
      <c r="K88" s="26"/>
      <c r="L88" s="26"/>
      <c r="M88" s="26"/>
      <c r="N88" s="34"/>
      <c r="O88" s="26"/>
      <c r="P88" s="34"/>
      <c r="Q88" s="26"/>
      <c r="R88" s="26"/>
      <c r="S88" s="35"/>
      <c r="U88" s="26"/>
      <c r="V88" s="26"/>
      <c r="W88" s="26"/>
      <c r="X88" s="34"/>
      <c r="Y88" s="26"/>
      <c r="Z88" s="34"/>
      <c r="AA88" s="26"/>
      <c r="AB88" s="26"/>
      <c r="AC88" s="35"/>
      <c r="AE88" s="26"/>
      <c r="AF88" s="26"/>
      <c r="AG88" s="26"/>
      <c r="AH88" s="34"/>
      <c r="AI88" s="26"/>
      <c r="AJ88" s="34"/>
      <c r="AK88" s="26"/>
      <c r="AL88" s="26"/>
      <c r="AM88" s="35"/>
    </row>
    <row r="89" spans="1:39" ht="11.1" customHeight="1">
      <c r="A89" s="17" t="str">
        <f>Assumptions!$D$12</f>
        <v>Neutral Tenure</v>
      </c>
      <c r="B89" s="17"/>
      <c r="C89"/>
      <c r="D89"/>
      <c r="E89" s="28"/>
      <c r="F89" s="32"/>
      <c r="G89" s="28"/>
      <c r="H89" s="28"/>
      <c r="I89" s="36"/>
      <c r="K89" s="17" t="str">
        <f>Assumptions!$D$12</f>
        <v>Neutral Tenure</v>
      </c>
      <c r="L89" s="17"/>
      <c r="M89"/>
      <c r="N89"/>
      <c r="O89" s="28"/>
      <c r="P89" s="32"/>
      <c r="Q89" s="28"/>
      <c r="R89" s="28"/>
      <c r="S89" s="36"/>
      <c r="U89" s="17" t="str">
        <f>Assumptions!$D$12</f>
        <v>Neutral Tenure</v>
      </c>
      <c r="V89" s="17"/>
      <c r="W89"/>
      <c r="X89"/>
      <c r="Y89" s="28"/>
      <c r="Z89" s="32"/>
      <c r="AA89" s="28"/>
      <c r="AB89" s="28"/>
      <c r="AC89" s="36"/>
      <c r="AE89" s="17" t="str">
        <f>Assumptions!$D$12</f>
        <v>Neutral Tenure</v>
      </c>
      <c r="AF89" s="17"/>
      <c r="AG89"/>
      <c r="AH89"/>
      <c r="AI89" s="28"/>
      <c r="AJ89" s="32"/>
      <c r="AK89" s="28"/>
      <c r="AL89" s="28"/>
      <c r="AM89" s="36"/>
    </row>
    <row r="90" spans="1:39" ht="11.1" customHeight="1">
      <c r="A90" s="29">
        <f>D78*C79*Assumptions!$H$13</f>
        <v>0</v>
      </c>
      <c r="B90" s="30" t="s">
        <v>36</v>
      </c>
      <c r="C90" s="37">
        <f>Assumptions!$E$24</f>
        <v>65</v>
      </c>
      <c r="D90" s="32" t="s">
        <v>7</v>
      </c>
      <c r="E90" s="28">
        <f>Assumptions!$C$37</f>
        <v>921</v>
      </c>
      <c r="F90" s="32" t="s">
        <v>6</v>
      </c>
      <c r="G90" s="28"/>
      <c r="H90" s="28"/>
      <c r="I90" s="33">
        <f>A90*C90*E90</f>
        <v>0</v>
      </c>
      <c r="K90" s="29">
        <f>N78*M79*Assumptions!$H$13</f>
        <v>0</v>
      </c>
      <c r="L90" s="30" t="s">
        <v>36</v>
      </c>
      <c r="M90" s="37">
        <f>Assumptions!$E$24</f>
        <v>65</v>
      </c>
      <c r="N90" s="32" t="s">
        <v>7</v>
      </c>
      <c r="O90" s="28">
        <f>Assumptions!$C$38</f>
        <v>925</v>
      </c>
      <c r="P90" s="32" t="s">
        <v>6</v>
      </c>
      <c r="Q90" s="28"/>
      <c r="R90" s="28"/>
      <c r="S90" s="33">
        <f>K90*M90*O90</f>
        <v>0</v>
      </c>
      <c r="U90" s="29">
        <f>X78*W79*Assumptions!$H$13</f>
        <v>0</v>
      </c>
      <c r="V90" s="30" t="s">
        <v>36</v>
      </c>
      <c r="W90" s="37">
        <f>Assumptions!$E$24</f>
        <v>65</v>
      </c>
      <c r="X90" s="32" t="s">
        <v>7</v>
      </c>
      <c r="Y90" s="28">
        <f>Assumptions!$C$39</f>
        <v>948</v>
      </c>
      <c r="Z90" s="32" t="s">
        <v>6</v>
      </c>
      <c r="AA90" s="28"/>
      <c r="AB90" s="28"/>
      <c r="AC90" s="33">
        <f>U90*W90*Y90</f>
        <v>0</v>
      </c>
      <c r="AE90" s="29">
        <f>AH78*AG79*Assumptions!$H$13</f>
        <v>0</v>
      </c>
      <c r="AF90" s="30" t="s">
        <v>36</v>
      </c>
      <c r="AG90" s="37">
        <f>Assumptions!$E$24</f>
        <v>65</v>
      </c>
      <c r="AH90" s="32" t="s">
        <v>7</v>
      </c>
      <c r="AI90" s="28">
        <f>Assumptions!$C$40</f>
        <v>1027</v>
      </c>
      <c r="AJ90" s="32" t="s">
        <v>6</v>
      </c>
      <c r="AK90" s="28"/>
      <c r="AL90" s="28"/>
      <c r="AM90" s="33">
        <f>AE90*AG90*AI90</f>
        <v>0</v>
      </c>
    </row>
    <row r="91" spans="1:39" ht="11.1" customHeight="1">
      <c r="A91" s="29">
        <f>D78*C79*Assumptions!$H$14</f>
        <v>21</v>
      </c>
      <c r="B91" s="30" t="s">
        <v>90</v>
      </c>
      <c r="C91" s="37">
        <f>Assumptions!$E$25</f>
        <v>83</v>
      </c>
      <c r="D91" s="32" t="s">
        <v>7</v>
      </c>
      <c r="E91" s="28">
        <f>Assumptions!$D$37</f>
        <v>891</v>
      </c>
      <c r="F91" s="32" t="s">
        <v>6</v>
      </c>
      <c r="G91" s="28"/>
      <c r="H91" s="28"/>
      <c r="I91" s="33">
        <f>A91*C91*E91</f>
        <v>1553013</v>
      </c>
      <c r="K91" s="29">
        <f>N78*M79*Assumptions!$H$14</f>
        <v>42</v>
      </c>
      <c r="L91" s="30" t="s">
        <v>90</v>
      </c>
      <c r="M91" s="37">
        <f>Assumptions!$E$25</f>
        <v>83</v>
      </c>
      <c r="N91" s="32" t="s">
        <v>7</v>
      </c>
      <c r="O91" s="28">
        <f>Assumptions!$D$38</f>
        <v>898</v>
      </c>
      <c r="P91" s="32" t="s">
        <v>6</v>
      </c>
      <c r="Q91" s="28"/>
      <c r="R91" s="28"/>
      <c r="S91" s="33">
        <f>K91*M91*O91</f>
        <v>3130428</v>
      </c>
      <c r="U91" s="29">
        <f>X78*W79*Assumptions!$H$14</f>
        <v>62.999999999999993</v>
      </c>
      <c r="V91" s="30" t="s">
        <v>90</v>
      </c>
      <c r="W91" s="37">
        <f>Assumptions!$E$25</f>
        <v>83</v>
      </c>
      <c r="X91" s="32" t="s">
        <v>7</v>
      </c>
      <c r="Y91" s="28">
        <f>Assumptions!$D$39</f>
        <v>932</v>
      </c>
      <c r="Z91" s="32" t="s">
        <v>6</v>
      </c>
      <c r="AA91" s="28"/>
      <c r="AB91" s="28"/>
      <c r="AC91" s="33">
        <f>U91*W91*Y91</f>
        <v>4873427.9999999991</v>
      </c>
      <c r="AE91" s="29">
        <f>AH78*AG79*Assumptions!$H$14</f>
        <v>84</v>
      </c>
      <c r="AF91" s="30" t="s">
        <v>90</v>
      </c>
      <c r="AG91" s="37">
        <f>Assumptions!$E$25</f>
        <v>83</v>
      </c>
      <c r="AH91" s="32" t="s">
        <v>7</v>
      </c>
      <c r="AI91" s="28">
        <f>Assumptions!$D$40</f>
        <v>1057</v>
      </c>
      <c r="AJ91" s="32" t="s">
        <v>6</v>
      </c>
      <c r="AK91" s="28"/>
      <c r="AL91" s="28"/>
      <c r="AM91" s="33">
        <f>AE91*AG91*AI91</f>
        <v>7369404</v>
      </c>
    </row>
    <row r="92" spans="1:39" ht="11.1" customHeight="1">
      <c r="A92" s="29">
        <f>D78*C79*Assumptions!$H$15</f>
        <v>9</v>
      </c>
      <c r="B92" s="30" t="s">
        <v>91</v>
      </c>
      <c r="C92" s="37">
        <f>Assumptions!$E$26</f>
        <v>94</v>
      </c>
      <c r="D92" s="32" t="s">
        <v>7</v>
      </c>
      <c r="E92" s="28">
        <f>Assumptions!$E$37</f>
        <v>848</v>
      </c>
      <c r="F92" s="32" t="s">
        <v>6</v>
      </c>
      <c r="G92" s="28"/>
      <c r="H92" s="28"/>
      <c r="I92" s="33">
        <f>A92*C92*E92</f>
        <v>717408</v>
      </c>
      <c r="K92" s="29">
        <f>N78*M79*Assumptions!$H$15</f>
        <v>18</v>
      </c>
      <c r="L92" s="30" t="s">
        <v>91</v>
      </c>
      <c r="M92" s="37">
        <f>Assumptions!$E$26</f>
        <v>94</v>
      </c>
      <c r="N92" s="32" t="s">
        <v>7</v>
      </c>
      <c r="O92" s="28">
        <f>Assumptions!$E$38</f>
        <v>855</v>
      </c>
      <c r="P92" s="32" t="s">
        <v>6</v>
      </c>
      <c r="Q92" s="28"/>
      <c r="R92" s="28"/>
      <c r="S92" s="33">
        <f>K92*M92*O92</f>
        <v>1446660</v>
      </c>
      <c r="U92" s="29">
        <f>X78*W79*Assumptions!$H$15</f>
        <v>27</v>
      </c>
      <c r="V92" s="30" t="s">
        <v>91</v>
      </c>
      <c r="W92" s="37">
        <f>Assumptions!$E$26</f>
        <v>94</v>
      </c>
      <c r="X92" s="32" t="s">
        <v>7</v>
      </c>
      <c r="Y92" s="28">
        <f>Assumptions!$E$39</f>
        <v>886</v>
      </c>
      <c r="Z92" s="32" t="s">
        <v>6</v>
      </c>
      <c r="AA92" s="28"/>
      <c r="AB92" s="28"/>
      <c r="AC92" s="33">
        <f>U92*W92*Y92</f>
        <v>2248668</v>
      </c>
      <c r="AE92" s="29">
        <f>AH78*AG79*Assumptions!$H$15</f>
        <v>36</v>
      </c>
      <c r="AF92" s="30" t="s">
        <v>91</v>
      </c>
      <c r="AG92" s="37">
        <f>Assumptions!$E$26</f>
        <v>94</v>
      </c>
      <c r="AH92" s="32" t="s">
        <v>7</v>
      </c>
      <c r="AI92" s="28">
        <f>Assumptions!$E$40</f>
        <v>1001</v>
      </c>
      <c r="AJ92" s="32" t="s">
        <v>6</v>
      </c>
      <c r="AK92" s="28"/>
      <c r="AL92" s="28"/>
      <c r="AM92" s="33">
        <f>AE92*AG92*AI92</f>
        <v>3387384</v>
      </c>
    </row>
    <row r="93" spans="1:39" ht="11.1" customHeight="1">
      <c r="A93" s="38"/>
      <c r="B93" s="26"/>
      <c r="C93" s="39"/>
      <c r="D93" s="34"/>
      <c r="E93" s="26"/>
      <c r="F93" s="34"/>
      <c r="G93" s="26"/>
      <c r="H93" s="26"/>
      <c r="I93" s="40"/>
      <c r="K93" s="38"/>
      <c r="L93" s="26"/>
      <c r="M93" s="39"/>
      <c r="N93" s="34"/>
      <c r="O93" s="26"/>
      <c r="P93" s="34"/>
      <c r="Q93" s="26"/>
      <c r="R93" s="26"/>
      <c r="S93" s="40"/>
      <c r="U93" s="38"/>
      <c r="V93" s="26"/>
      <c r="W93" s="39"/>
      <c r="X93" s="34"/>
      <c r="Y93" s="26"/>
      <c r="Z93" s="34"/>
      <c r="AA93" s="26"/>
      <c r="AB93" s="26"/>
      <c r="AC93" s="40"/>
      <c r="AE93" s="38"/>
      <c r="AF93" s="26"/>
      <c r="AG93" s="39"/>
      <c r="AH93" s="34"/>
      <c r="AI93" s="26"/>
      <c r="AJ93" s="34"/>
      <c r="AK93" s="26"/>
      <c r="AL93" s="26"/>
      <c r="AM93" s="40"/>
    </row>
    <row r="94" spans="1:39" ht="11.1" customHeight="1">
      <c r="A94" s="17" t="s">
        <v>92</v>
      </c>
      <c r="B94" s="17"/>
      <c r="C94" s="20">
        <f>Assumptions!$E$18</f>
        <v>0</v>
      </c>
      <c r="D94" s="32" t="s">
        <v>89</v>
      </c>
      <c r="E94" s="28"/>
      <c r="F94" s="32"/>
      <c r="G94" s="28"/>
      <c r="H94" s="28"/>
      <c r="I94" s="36"/>
      <c r="K94" s="17" t="s">
        <v>92</v>
      </c>
      <c r="L94" s="17"/>
      <c r="M94" s="20">
        <f>Assumptions!$E$18</f>
        <v>0</v>
      </c>
      <c r="N94" s="32" t="s">
        <v>89</v>
      </c>
      <c r="O94" s="28"/>
      <c r="P94" s="32"/>
      <c r="Q94" s="28"/>
      <c r="R94" s="28"/>
      <c r="S94" s="36"/>
      <c r="U94" s="17" t="s">
        <v>92</v>
      </c>
      <c r="V94" s="17"/>
      <c r="W94" s="20">
        <f>Assumptions!$E$18</f>
        <v>0</v>
      </c>
      <c r="X94" s="32" t="s">
        <v>89</v>
      </c>
      <c r="Y94" s="28"/>
      <c r="Z94" s="32"/>
      <c r="AA94" s="28"/>
      <c r="AB94" s="28"/>
      <c r="AC94" s="36"/>
      <c r="AE94" s="17" t="s">
        <v>92</v>
      </c>
      <c r="AF94" s="17"/>
      <c r="AG94" s="20">
        <f>Assumptions!$E$18</f>
        <v>0</v>
      </c>
      <c r="AH94" s="32" t="s">
        <v>89</v>
      </c>
      <c r="AI94" s="28"/>
      <c r="AJ94" s="32"/>
      <c r="AK94" s="28"/>
      <c r="AL94" s="28"/>
      <c r="AM94" s="36"/>
    </row>
    <row r="95" spans="1:39" ht="11.1" customHeight="1">
      <c r="A95" s="29">
        <f>D78*E79*0.3</f>
        <v>0</v>
      </c>
      <c r="B95" s="30" t="s">
        <v>36</v>
      </c>
      <c r="C95" s="37">
        <f>C83</f>
        <v>61</v>
      </c>
      <c r="D95" s="32" t="s">
        <v>93</v>
      </c>
      <c r="E95" s="28">
        <f>E83*C94</f>
        <v>0</v>
      </c>
      <c r="F95" s="32" t="s">
        <v>6</v>
      </c>
      <c r="G95" s="28"/>
      <c r="H95" s="28"/>
      <c r="I95" s="33">
        <f>A95*C95*E95</f>
        <v>0</v>
      </c>
      <c r="K95" s="29">
        <f>N78*O79*0.3</f>
        <v>0</v>
      </c>
      <c r="L95" s="30" t="s">
        <v>36</v>
      </c>
      <c r="M95" s="37">
        <f>M83</f>
        <v>61</v>
      </c>
      <c r="N95" s="32" t="s">
        <v>93</v>
      </c>
      <c r="O95" s="28">
        <f>O83*M94</f>
        <v>0</v>
      </c>
      <c r="P95" s="32" t="s">
        <v>6</v>
      </c>
      <c r="Q95" s="28"/>
      <c r="R95" s="28"/>
      <c r="S95" s="33">
        <f>K95*M95*O95</f>
        <v>0</v>
      </c>
      <c r="U95" s="29">
        <f>X78*Y79*0.3</f>
        <v>0</v>
      </c>
      <c r="V95" s="30" t="s">
        <v>36</v>
      </c>
      <c r="W95" s="37">
        <f>W83</f>
        <v>61</v>
      </c>
      <c r="X95" s="32" t="s">
        <v>93</v>
      </c>
      <c r="Y95" s="28">
        <f>Y83*W94</f>
        <v>0</v>
      </c>
      <c r="Z95" s="32" t="s">
        <v>6</v>
      </c>
      <c r="AA95" s="28"/>
      <c r="AB95" s="28"/>
      <c r="AC95" s="33">
        <f>U95*W95*Y95</f>
        <v>0</v>
      </c>
      <c r="AE95" s="29">
        <f>AH78*AI79*0.3</f>
        <v>0</v>
      </c>
      <c r="AF95" s="30" t="s">
        <v>36</v>
      </c>
      <c r="AG95" s="37">
        <f>AG83</f>
        <v>61</v>
      </c>
      <c r="AH95" s="32" t="s">
        <v>93</v>
      </c>
      <c r="AI95" s="28">
        <f>AI83*AG94</f>
        <v>0</v>
      </c>
      <c r="AJ95" s="32" t="s">
        <v>6</v>
      </c>
      <c r="AK95" s="28"/>
      <c r="AL95" s="28"/>
      <c r="AM95" s="33">
        <f>AE95*AG95*AI95</f>
        <v>0</v>
      </c>
    </row>
    <row r="96" spans="1:39" ht="11.1" customHeight="1">
      <c r="A96" s="29">
        <f>D78*E79*0.5</f>
        <v>0</v>
      </c>
      <c r="B96" s="30" t="s">
        <v>90</v>
      </c>
      <c r="C96" s="37">
        <f>C84</f>
        <v>75</v>
      </c>
      <c r="D96" s="32" t="s">
        <v>93</v>
      </c>
      <c r="E96" s="28">
        <f>E84*C94</f>
        <v>0</v>
      </c>
      <c r="F96" s="32" t="s">
        <v>6</v>
      </c>
      <c r="G96" s="28"/>
      <c r="H96" s="28"/>
      <c r="I96" s="33">
        <f>A96*C96*E96</f>
        <v>0</v>
      </c>
      <c r="K96" s="29">
        <f>N78*O79*0.5</f>
        <v>0</v>
      </c>
      <c r="L96" s="30" t="s">
        <v>90</v>
      </c>
      <c r="M96" s="37">
        <f>M84</f>
        <v>75</v>
      </c>
      <c r="N96" s="32" t="s">
        <v>93</v>
      </c>
      <c r="O96" s="28">
        <f>O84*M94</f>
        <v>0</v>
      </c>
      <c r="P96" s="32" t="s">
        <v>6</v>
      </c>
      <c r="Q96" s="28"/>
      <c r="R96" s="28"/>
      <c r="S96" s="33">
        <f>K96*M96*O96</f>
        <v>0</v>
      </c>
      <c r="U96" s="29">
        <f>X78*Y79*0.5</f>
        <v>0</v>
      </c>
      <c r="V96" s="30" t="s">
        <v>90</v>
      </c>
      <c r="W96" s="37">
        <f>W84</f>
        <v>75</v>
      </c>
      <c r="X96" s="32" t="s">
        <v>93</v>
      </c>
      <c r="Y96" s="28">
        <f>Y84*W94</f>
        <v>0</v>
      </c>
      <c r="Z96" s="32" t="s">
        <v>6</v>
      </c>
      <c r="AA96" s="28"/>
      <c r="AB96" s="28"/>
      <c r="AC96" s="33">
        <f>U96*W96*Y96</f>
        <v>0</v>
      </c>
      <c r="AE96" s="29">
        <f>AH78*AI79*0.5</f>
        <v>0</v>
      </c>
      <c r="AF96" s="30" t="s">
        <v>90</v>
      </c>
      <c r="AG96" s="37">
        <f>AG84</f>
        <v>75</v>
      </c>
      <c r="AH96" s="32" t="s">
        <v>93</v>
      </c>
      <c r="AI96" s="28">
        <f>AI84*AG94</f>
        <v>0</v>
      </c>
      <c r="AJ96" s="32" t="s">
        <v>6</v>
      </c>
      <c r="AK96" s="28"/>
      <c r="AL96" s="28"/>
      <c r="AM96" s="33">
        <f>AE96*AG96*AI96</f>
        <v>0</v>
      </c>
    </row>
    <row r="97" spans="1:39" ht="11.1" customHeight="1">
      <c r="A97" s="29">
        <f>D78*E79*0.2</f>
        <v>0</v>
      </c>
      <c r="B97" s="30" t="s">
        <v>91</v>
      </c>
      <c r="C97" s="37">
        <f>C85</f>
        <v>88</v>
      </c>
      <c r="D97" s="32" t="s">
        <v>93</v>
      </c>
      <c r="E97" s="28">
        <f>E85*C94</f>
        <v>0</v>
      </c>
      <c r="F97" s="32" t="s">
        <v>6</v>
      </c>
      <c r="G97" s="28"/>
      <c r="H97" s="28"/>
      <c r="I97" s="33">
        <f>A97*C97*E97</f>
        <v>0</v>
      </c>
      <c r="K97" s="29">
        <f>N78*O79*0.2</f>
        <v>0</v>
      </c>
      <c r="L97" s="30" t="s">
        <v>91</v>
      </c>
      <c r="M97" s="37">
        <f>M85</f>
        <v>88</v>
      </c>
      <c r="N97" s="32" t="s">
        <v>93</v>
      </c>
      <c r="O97" s="28">
        <f>O85*M94</f>
        <v>0</v>
      </c>
      <c r="P97" s="32" t="s">
        <v>6</v>
      </c>
      <c r="Q97" s="28"/>
      <c r="R97" s="28"/>
      <c r="S97" s="33">
        <f>K97*M97*O97</f>
        <v>0</v>
      </c>
      <c r="U97" s="29">
        <f>X78*Y79*0.2</f>
        <v>0</v>
      </c>
      <c r="V97" s="30" t="s">
        <v>91</v>
      </c>
      <c r="W97" s="37">
        <f>W85</f>
        <v>88</v>
      </c>
      <c r="X97" s="32" t="s">
        <v>93</v>
      </c>
      <c r="Y97" s="28">
        <f>Y85*W94</f>
        <v>0</v>
      </c>
      <c r="Z97" s="32" t="s">
        <v>6</v>
      </c>
      <c r="AA97" s="28"/>
      <c r="AB97" s="28"/>
      <c r="AC97" s="33">
        <f>U97*W97*Y97</f>
        <v>0</v>
      </c>
      <c r="AE97" s="29">
        <f>AH78*AI79*0.2</f>
        <v>0</v>
      </c>
      <c r="AF97" s="30" t="s">
        <v>91</v>
      </c>
      <c r="AG97" s="37">
        <f>AG85</f>
        <v>88</v>
      </c>
      <c r="AH97" s="32" t="s">
        <v>93</v>
      </c>
      <c r="AI97" s="28">
        <f>AI85*AG94</f>
        <v>0</v>
      </c>
      <c r="AJ97" s="32" t="s">
        <v>6</v>
      </c>
      <c r="AK97" s="28"/>
      <c r="AL97" s="28"/>
      <c r="AM97" s="33">
        <f>AE97*AG97*AI97</f>
        <v>0</v>
      </c>
    </row>
    <row r="98" spans="1:39" ht="11.1" customHeight="1">
      <c r="A98" s="38"/>
      <c r="B98" s="26"/>
      <c r="C98" s="39"/>
      <c r="D98" s="34"/>
      <c r="E98" s="26"/>
      <c r="F98" s="34"/>
      <c r="G98" s="26"/>
      <c r="H98" s="26"/>
      <c r="I98" s="40"/>
      <c r="K98" s="38"/>
      <c r="L98" s="26"/>
      <c r="M98" s="39"/>
      <c r="N98" s="34"/>
      <c r="O98" s="26"/>
      <c r="P98" s="34"/>
      <c r="Q98" s="26"/>
      <c r="R98" s="26"/>
      <c r="S98" s="40"/>
      <c r="U98" s="38"/>
      <c r="V98" s="26"/>
      <c r="W98" s="39"/>
      <c r="X98" s="34"/>
      <c r="Y98" s="26"/>
      <c r="Z98" s="34"/>
      <c r="AA98" s="26"/>
      <c r="AB98" s="26"/>
      <c r="AC98" s="40"/>
      <c r="AE98" s="38"/>
      <c r="AF98" s="26"/>
      <c r="AG98" s="39"/>
      <c r="AH98" s="34"/>
      <c r="AI98" s="26"/>
      <c r="AJ98" s="34"/>
      <c r="AK98" s="26"/>
      <c r="AL98" s="26"/>
      <c r="AM98" s="40"/>
    </row>
    <row r="99" spans="1:39" ht="11.1" customHeight="1">
      <c r="A99" s="17" t="s">
        <v>94</v>
      </c>
      <c r="B99" s="17"/>
      <c r="C99" s="20">
        <f>Assumptions!$F$18</f>
        <v>0</v>
      </c>
      <c r="D99" s="32" t="s">
        <v>89</v>
      </c>
      <c r="E99" s="28"/>
      <c r="F99" s="32"/>
      <c r="G99" s="28"/>
      <c r="H99" s="28"/>
      <c r="I99" s="36"/>
      <c r="K99" s="17" t="s">
        <v>94</v>
      </c>
      <c r="L99" s="17"/>
      <c r="M99" s="20">
        <f>Assumptions!$F$18</f>
        <v>0</v>
      </c>
      <c r="N99" s="32" t="s">
        <v>89</v>
      </c>
      <c r="O99" s="28"/>
      <c r="P99" s="32"/>
      <c r="Q99" s="28"/>
      <c r="R99" s="28"/>
      <c r="S99" s="36"/>
      <c r="U99" s="17" t="s">
        <v>94</v>
      </c>
      <c r="V99" s="17"/>
      <c r="W99" s="20">
        <f>Assumptions!$F$18</f>
        <v>0</v>
      </c>
      <c r="X99" s="32" t="s">
        <v>89</v>
      </c>
      <c r="Y99" s="28"/>
      <c r="Z99" s="32"/>
      <c r="AA99" s="28"/>
      <c r="AB99" s="28"/>
      <c r="AC99" s="36"/>
      <c r="AE99" s="17" t="s">
        <v>94</v>
      </c>
      <c r="AF99" s="17"/>
      <c r="AG99" s="20">
        <f>Assumptions!$F$18</f>
        <v>0</v>
      </c>
      <c r="AH99" s="32" t="s">
        <v>89</v>
      </c>
      <c r="AI99" s="28"/>
      <c r="AJ99" s="32"/>
      <c r="AK99" s="28"/>
      <c r="AL99" s="28"/>
      <c r="AM99" s="36"/>
    </row>
    <row r="100" spans="1:39" ht="11.1" customHeight="1">
      <c r="A100" s="29">
        <f>D78*G79*0.3</f>
        <v>0</v>
      </c>
      <c r="B100" s="30" t="s">
        <v>36</v>
      </c>
      <c r="C100" s="37">
        <f>C83</f>
        <v>61</v>
      </c>
      <c r="D100" s="32" t="s">
        <v>93</v>
      </c>
      <c r="E100" s="28">
        <f>E83*C99</f>
        <v>0</v>
      </c>
      <c r="F100" s="32" t="s">
        <v>6</v>
      </c>
      <c r="G100" s="28"/>
      <c r="H100" s="28"/>
      <c r="I100" s="33">
        <f>A100*C100*E100</f>
        <v>0</v>
      </c>
      <c r="K100" s="29">
        <f>N78*Q79*0.3</f>
        <v>0</v>
      </c>
      <c r="L100" s="30" t="s">
        <v>36</v>
      </c>
      <c r="M100" s="37">
        <f>M83</f>
        <v>61</v>
      </c>
      <c r="N100" s="32" t="s">
        <v>93</v>
      </c>
      <c r="O100" s="28">
        <f>O83*M99</f>
        <v>0</v>
      </c>
      <c r="P100" s="32" t="s">
        <v>6</v>
      </c>
      <c r="Q100" s="28"/>
      <c r="R100" s="28"/>
      <c r="S100" s="33">
        <f>K100*M100*O100</f>
        <v>0</v>
      </c>
      <c r="U100" s="29">
        <f>X78*AA79*0.3</f>
        <v>0</v>
      </c>
      <c r="V100" s="30" t="s">
        <v>36</v>
      </c>
      <c r="W100" s="37">
        <f>W83</f>
        <v>61</v>
      </c>
      <c r="X100" s="32" t="s">
        <v>93</v>
      </c>
      <c r="Y100" s="28">
        <f>Y83*W99</f>
        <v>0</v>
      </c>
      <c r="Z100" s="32" t="s">
        <v>6</v>
      </c>
      <c r="AA100" s="28"/>
      <c r="AB100" s="28"/>
      <c r="AC100" s="33">
        <f>U100*W100*Y100</f>
        <v>0</v>
      </c>
      <c r="AE100" s="29">
        <f>AH78*AK79*0.3</f>
        <v>0</v>
      </c>
      <c r="AF100" s="30" t="s">
        <v>36</v>
      </c>
      <c r="AG100" s="37">
        <f>AG83</f>
        <v>61</v>
      </c>
      <c r="AH100" s="32" t="s">
        <v>93</v>
      </c>
      <c r="AI100" s="28">
        <f>AI83*AG99</f>
        <v>0</v>
      </c>
      <c r="AJ100" s="32" t="s">
        <v>6</v>
      </c>
      <c r="AK100" s="28"/>
      <c r="AL100" s="28"/>
      <c r="AM100" s="33">
        <f>AE100*AG100*AI100</f>
        <v>0</v>
      </c>
    </row>
    <row r="101" spans="1:39" ht="11.1" customHeight="1">
      <c r="A101" s="29">
        <f>D78*G79*0.5</f>
        <v>0</v>
      </c>
      <c r="B101" s="30" t="s">
        <v>90</v>
      </c>
      <c r="C101" s="37">
        <f>C84</f>
        <v>75</v>
      </c>
      <c r="D101" s="32" t="s">
        <v>93</v>
      </c>
      <c r="E101" s="28">
        <f>E84*C99</f>
        <v>0</v>
      </c>
      <c r="F101" s="32" t="s">
        <v>6</v>
      </c>
      <c r="G101" s="28"/>
      <c r="H101" s="28"/>
      <c r="I101" s="33">
        <f>A101*C101*E101</f>
        <v>0</v>
      </c>
      <c r="K101" s="29">
        <f>N78*Q79*0.5</f>
        <v>0</v>
      </c>
      <c r="L101" s="30" t="s">
        <v>90</v>
      </c>
      <c r="M101" s="37">
        <f>M84</f>
        <v>75</v>
      </c>
      <c r="N101" s="32" t="s">
        <v>93</v>
      </c>
      <c r="O101" s="28">
        <f>O84*M99</f>
        <v>0</v>
      </c>
      <c r="P101" s="32" t="s">
        <v>6</v>
      </c>
      <c r="Q101" s="28"/>
      <c r="R101" s="28"/>
      <c r="S101" s="33">
        <f>K101*M101*O101</f>
        <v>0</v>
      </c>
      <c r="U101" s="29">
        <f>X78*AA79*0.5</f>
        <v>0</v>
      </c>
      <c r="V101" s="30" t="s">
        <v>90</v>
      </c>
      <c r="W101" s="37">
        <f>W84</f>
        <v>75</v>
      </c>
      <c r="X101" s="32" t="s">
        <v>93</v>
      </c>
      <c r="Y101" s="28">
        <f>Y84*W99</f>
        <v>0</v>
      </c>
      <c r="Z101" s="32" t="s">
        <v>6</v>
      </c>
      <c r="AA101" s="28"/>
      <c r="AB101" s="28"/>
      <c r="AC101" s="33">
        <f>U101*W101*Y101</f>
        <v>0</v>
      </c>
      <c r="AE101" s="29">
        <f>AH78*AK79*0.5</f>
        <v>0</v>
      </c>
      <c r="AF101" s="30" t="s">
        <v>90</v>
      </c>
      <c r="AG101" s="37">
        <f>AG84</f>
        <v>75</v>
      </c>
      <c r="AH101" s="32" t="s">
        <v>93</v>
      </c>
      <c r="AI101" s="28">
        <f>AI84*AG99</f>
        <v>0</v>
      </c>
      <c r="AJ101" s="32" t="s">
        <v>6</v>
      </c>
      <c r="AK101" s="28"/>
      <c r="AL101" s="28"/>
      <c r="AM101" s="33">
        <f>AE101*AG101*AI101</f>
        <v>0</v>
      </c>
    </row>
    <row r="102" spans="1:39" ht="11.1" customHeight="1">
      <c r="A102" s="29">
        <f>D78*G79*0.2</f>
        <v>0</v>
      </c>
      <c r="B102" s="30" t="s">
        <v>91</v>
      </c>
      <c r="C102" s="37">
        <f>C85</f>
        <v>88</v>
      </c>
      <c r="D102" s="32" t="s">
        <v>93</v>
      </c>
      <c r="E102" s="28">
        <f>E85*C99</f>
        <v>0</v>
      </c>
      <c r="F102" s="32" t="s">
        <v>6</v>
      </c>
      <c r="G102" s="28"/>
      <c r="H102" s="28"/>
      <c r="I102" s="33">
        <f>A102*C102*E102</f>
        <v>0</v>
      </c>
      <c r="K102" s="29">
        <f>N78*Q79*0.2</f>
        <v>0</v>
      </c>
      <c r="L102" s="30" t="s">
        <v>91</v>
      </c>
      <c r="M102" s="37">
        <f>M85</f>
        <v>88</v>
      </c>
      <c r="N102" s="32" t="s">
        <v>93</v>
      </c>
      <c r="O102" s="28">
        <f>O85*M99</f>
        <v>0</v>
      </c>
      <c r="P102" s="32" t="s">
        <v>6</v>
      </c>
      <c r="Q102" s="28"/>
      <c r="R102" s="28"/>
      <c r="S102" s="33">
        <f>K102*M102*O102</f>
        <v>0</v>
      </c>
      <c r="U102" s="29">
        <f>X78*AA79*0.2</f>
        <v>0</v>
      </c>
      <c r="V102" s="30" t="s">
        <v>91</v>
      </c>
      <c r="W102" s="37">
        <f>W85</f>
        <v>88</v>
      </c>
      <c r="X102" s="32" t="s">
        <v>93</v>
      </c>
      <c r="Y102" s="28">
        <f>Y85*W99</f>
        <v>0</v>
      </c>
      <c r="Z102" s="32" t="s">
        <v>6</v>
      </c>
      <c r="AA102" s="28"/>
      <c r="AB102" s="28"/>
      <c r="AC102" s="33">
        <f>U102*W102*Y102</f>
        <v>0</v>
      </c>
      <c r="AE102" s="29">
        <f>AH78*AK79*0.2</f>
        <v>0</v>
      </c>
      <c r="AF102" s="30" t="s">
        <v>91</v>
      </c>
      <c r="AG102" s="37">
        <f>AG85</f>
        <v>88</v>
      </c>
      <c r="AH102" s="32" t="s">
        <v>93</v>
      </c>
      <c r="AI102" s="28">
        <f>AI85*AG99</f>
        <v>0</v>
      </c>
      <c r="AJ102" s="32" t="s">
        <v>6</v>
      </c>
      <c r="AK102" s="28"/>
      <c r="AL102" s="28"/>
      <c r="AM102" s="33">
        <f>AE102*AG102*AI102</f>
        <v>0</v>
      </c>
    </row>
    <row r="103" spans="1:39" ht="11.1" customHeight="1">
      <c r="A103" s="41">
        <f>SUM(A83:A102)</f>
        <v>300</v>
      </c>
      <c r="B103" s="34" t="s">
        <v>95</v>
      </c>
      <c r="C103" s="26"/>
      <c r="D103" s="26"/>
      <c r="E103" s="26"/>
      <c r="F103" s="26"/>
      <c r="G103" s="26"/>
      <c r="H103" s="26"/>
      <c r="I103" s="35"/>
      <c r="K103" s="41">
        <f>SUM(K83:K102)</f>
        <v>300</v>
      </c>
      <c r="L103" s="34" t="s">
        <v>95</v>
      </c>
      <c r="M103" s="26"/>
      <c r="N103" s="26"/>
      <c r="O103" s="26"/>
      <c r="P103" s="26"/>
      <c r="Q103" s="26"/>
      <c r="R103" s="26"/>
      <c r="S103" s="35"/>
      <c r="U103" s="41">
        <f>SUM(U83:U102)</f>
        <v>300</v>
      </c>
      <c r="V103" s="34" t="s">
        <v>95</v>
      </c>
      <c r="W103" s="26"/>
      <c r="X103" s="26"/>
      <c r="Y103" s="26"/>
      <c r="Z103" s="26"/>
      <c r="AA103" s="26"/>
      <c r="AB103" s="26"/>
      <c r="AC103" s="35"/>
      <c r="AE103" s="41">
        <f>SUM(AE83:AE102)</f>
        <v>300</v>
      </c>
      <c r="AF103" s="34" t="s">
        <v>95</v>
      </c>
      <c r="AG103" s="26"/>
      <c r="AH103" s="26"/>
      <c r="AI103" s="26"/>
      <c r="AJ103" s="26"/>
      <c r="AK103" s="26"/>
      <c r="AL103" s="26"/>
      <c r="AM103" s="35"/>
    </row>
    <row r="104" spans="1:39" ht="11.1" customHeight="1">
      <c r="A104" s="25" t="s">
        <v>4</v>
      </c>
      <c r="B104" s="26"/>
      <c r="C104" s="26"/>
      <c r="D104" s="26"/>
      <c r="E104" s="26"/>
      <c r="F104" s="26"/>
      <c r="G104" s="26"/>
      <c r="H104" s="26"/>
      <c r="I104" s="42">
        <f>SUM(I83:I102)</f>
        <v>57114171</v>
      </c>
      <c r="K104" s="25" t="s">
        <v>4</v>
      </c>
      <c r="L104" s="26"/>
      <c r="M104" s="26"/>
      <c r="N104" s="26"/>
      <c r="O104" s="26"/>
      <c r="P104" s="26"/>
      <c r="Q104" s="26"/>
      <c r="R104" s="26"/>
      <c r="S104" s="42">
        <f>SUM(S83:S102)</f>
        <v>53327088</v>
      </c>
      <c r="U104" s="25" t="s">
        <v>4</v>
      </c>
      <c r="V104" s="26"/>
      <c r="W104" s="26"/>
      <c r="X104" s="26"/>
      <c r="Y104" s="26"/>
      <c r="Z104" s="26"/>
      <c r="AA104" s="26"/>
      <c r="AB104" s="26"/>
      <c r="AC104" s="42">
        <f>SUM(AC83:AC102)</f>
        <v>49778346</v>
      </c>
      <c r="AE104" s="25" t="s">
        <v>4</v>
      </c>
      <c r="AF104" s="26"/>
      <c r="AG104" s="26"/>
      <c r="AH104" s="26"/>
      <c r="AI104" s="26"/>
      <c r="AJ104" s="26"/>
      <c r="AK104" s="26"/>
      <c r="AL104" s="26"/>
      <c r="AM104" s="42">
        <f>SUM(AM83:AM102)</f>
        <v>49194288</v>
      </c>
    </row>
    <row r="105" ht="11.1" customHeight="1"/>
    <row r="106" spans="1:39" ht="11.1" customHeight="1">
      <c r="A106" s="25" t="s">
        <v>8</v>
      </c>
      <c r="B106" s="26"/>
      <c r="C106" s="26"/>
      <c r="D106" s="26"/>
      <c r="E106" s="26"/>
      <c r="F106" s="26"/>
      <c r="G106" s="26"/>
      <c r="H106" s="26"/>
      <c r="I106" s="40"/>
      <c r="K106" s="25" t="s">
        <v>8</v>
      </c>
      <c r="L106" s="26"/>
      <c r="M106" s="26"/>
      <c r="N106" s="26"/>
      <c r="O106" s="26"/>
      <c r="P106" s="26"/>
      <c r="Q106" s="26"/>
      <c r="R106" s="26"/>
      <c r="S106" s="40"/>
      <c r="U106" s="25" t="s">
        <v>8</v>
      </c>
      <c r="V106" s="26"/>
      <c r="W106" s="26"/>
      <c r="X106" s="26"/>
      <c r="Y106" s="26"/>
      <c r="Z106" s="26"/>
      <c r="AA106" s="26"/>
      <c r="AB106" s="26"/>
      <c r="AC106" s="40"/>
      <c r="AE106" s="25" t="s">
        <v>8</v>
      </c>
      <c r="AF106" s="26"/>
      <c r="AG106" s="26"/>
      <c r="AH106" s="26"/>
      <c r="AI106" s="26"/>
      <c r="AJ106" s="26"/>
      <c r="AK106" s="26"/>
      <c r="AL106" s="26"/>
      <c r="AM106" s="40"/>
    </row>
    <row r="107" spans="1:39" ht="11.1" customHeight="1">
      <c r="A107" s="16" t="s">
        <v>9</v>
      </c>
      <c r="B107" s="30" t="s">
        <v>36</v>
      </c>
      <c r="C107" s="43">
        <f>A83</f>
        <v>0</v>
      </c>
      <c r="D107" s="32" t="s">
        <v>96</v>
      </c>
      <c r="E107" s="18">
        <f>'Land Values'!D12</f>
        <v>7232.95</v>
      </c>
      <c r="F107" s="32" t="s">
        <v>97</v>
      </c>
      <c r="G107" s="28"/>
      <c r="H107" s="28"/>
      <c r="I107" s="33">
        <f>C107*E107</f>
        <v>0</v>
      </c>
      <c r="K107" s="16" t="s">
        <v>9</v>
      </c>
      <c r="L107" s="30" t="s">
        <v>36</v>
      </c>
      <c r="M107" s="43">
        <f>K83</f>
        <v>0</v>
      </c>
      <c r="N107" s="32" t="s">
        <v>96</v>
      </c>
      <c r="O107" s="18">
        <f>'Land Values'!E12</f>
        <v>7232.95</v>
      </c>
      <c r="P107" s="32" t="s">
        <v>97</v>
      </c>
      <c r="Q107" s="28"/>
      <c r="R107" s="28"/>
      <c r="S107" s="33">
        <f>M107*O107</f>
        <v>0</v>
      </c>
      <c r="U107" s="16" t="s">
        <v>9</v>
      </c>
      <c r="V107" s="30" t="s">
        <v>36</v>
      </c>
      <c r="W107" s="43">
        <f>U83</f>
        <v>0</v>
      </c>
      <c r="X107" s="32" t="s">
        <v>96</v>
      </c>
      <c r="Y107" s="18">
        <f>'Land Values'!F12</f>
        <v>7232.95</v>
      </c>
      <c r="Z107" s="32" t="s">
        <v>97</v>
      </c>
      <c r="AA107" s="28"/>
      <c r="AB107" s="28"/>
      <c r="AC107" s="33">
        <f>W107*Y107</f>
        <v>0</v>
      </c>
      <c r="AE107" s="16" t="s">
        <v>9</v>
      </c>
      <c r="AF107" s="30" t="s">
        <v>36</v>
      </c>
      <c r="AG107" s="43">
        <f>AE83</f>
        <v>0</v>
      </c>
      <c r="AH107" s="32" t="s">
        <v>96</v>
      </c>
      <c r="AI107" s="18">
        <f>'Land Values'!G12</f>
        <v>8401.735</v>
      </c>
      <c r="AJ107" s="32" t="s">
        <v>97</v>
      </c>
      <c r="AK107" s="28"/>
      <c r="AL107" s="28"/>
      <c r="AM107" s="33">
        <f>AG107*AI107</f>
        <v>0</v>
      </c>
    </row>
    <row r="108" spans="1:39" ht="11.1" customHeight="1">
      <c r="A108" s="17"/>
      <c r="B108" s="30" t="s">
        <v>98</v>
      </c>
      <c r="C108" s="43">
        <f>A84</f>
        <v>45</v>
      </c>
      <c r="D108" s="32" t="s">
        <v>96</v>
      </c>
      <c r="E108" s="18">
        <f>'Land Values'!D20</f>
        <v>18082.375</v>
      </c>
      <c r="F108" s="32" t="s">
        <v>97</v>
      </c>
      <c r="G108" s="28"/>
      <c r="H108" s="28"/>
      <c r="I108" s="33">
        <f>C108*E108</f>
        <v>813706.875</v>
      </c>
      <c r="K108" s="17"/>
      <c r="L108" s="30" t="s">
        <v>98</v>
      </c>
      <c r="M108" s="43">
        <f>K84</f>
        <v>40</v>
      </c>
      <c r="N108" s="32" t="s">
        <v>96</v>
      </c>
      <c r="O108" s="18">
        <f>'Land Values'!E20</f>
        <v>18082.375</v>
      </c>
      <c r="P108" s="32" t="s">
        <v>97</v>
      </c>
      <c r="Q108" s="28"/>
      <c r="R108" s="28"/>
      <c r="S108" s="33">
        <f>M108*O108</f>
        <v>723295</v>
      </c>
      <c r="U108" s="17"/>
      <c r="V108" s="30" t="s">
        <v>98</v>
      </c>
      <c r="W108" s="43">
        <f>U84</f>
        <v>35</v>
      </c>
      <c r="X108" s="32" t="s">
        <v>96</v>
      </c>
      <c r="Y108" s="18">
        <f>'Land Values'!F20</f>
        <v>18082.375</v>
      </c>
      <c r="Z108" s="32" t="s">
        <v>97</v>
      </c>
      <c r="AA108" s="28"/>
      <c r="AB108" s="28"/>
      <c r="AC108" s="33">
        <f>W108*Y108</f>
        <v>632883.125</v>
      </c>
      <c r="AE108" s="17"/>
      <c r="AF108" s="30" t="s">
        <v>98</v>
      </c>
      <c r="AG108" s="43">
        <f>AE84</f>
        <v>30</v>
      </c>
      <c r="AH108" s="32" t="s">
        <v>96</v>
      </c>
      <c r="AI108" s="18">
        <f>'Land Values'!G20</f>
        <v>21004.3375</v>
      </c>
      <c r="AJ108" s="32" t="s">
        <v>97</v>
      </c>
      <c r="AK108" s="28"/>
      <c r="AL108" s="28"/>
      <c r="AM108" s="33">
        <f>AG108*AI108</f>
        <v>630130.125</v>
      </c>
    </row>
    <row r="109" spans="1:39" ht="11.1" customHeight="1">
      <c r="A109" s="17"/>
      <c r="B109" s="30" t="s">
        <v>91</v>
      </c>
      <c r="C109" s="43">
        <f>A85</f>
        <v>112.5</v>
      </c>
      <c r="D109" s="32" t="s">
        <v>96</v>
      </c>
      <c r="E109" s="18">
        <f>'Land Values'!D28</f>
        <v>20665.571428571431</v>
      </c>
      <c r="F109" s="32" t="s">
        <v>97</v>
      </c>
      <c r="G109" s="28"/>
      <c r="H109" s="28"/>
      <c r="I109" s="33">
        <f>C109*E109</f>
        <v>2324876.7857142859</v>
      </c>
      <c r="K109" s="17"/>
      <c r="L109" s="30" t="s">
        <v>91</v>
      </c>
      <c r="M109" s="43">
        <f>K85</f>
        <v>100</v>
      </c>
      <c r="N109" s="32" t="s">
        <v>96</v>
      </c>
      <c r="O109" s="18">
        <f>'Land Values'!E28</f>
        <v>20665.571428571431</v>
      </c>
      <c r="P109" s="32" t="s">
        <v>97</v>
      </c>
      <c r="Q109" s="28"/>
      <c r="R109" s="28"/>
      <c r="S109" s="33">
        <f>M109*O109</f>
        <v>2066557.1428571432</v>
      </c>
      <c r="U109" s="17"/>
      <c r="V109" s="30" t="s">
        <v>91</v>
      </c>
      <c r="W109" s="43">
        <f>U85</f>
        <v>87.5</v>
      </c>
      <c r="X109" s="32" t="s">
        <v>96</v>
      </c>
      <c r="Y109" s="18">
        <f>'Land Values'!F28</f>
        <v>20665.571428571431</v>
      </c>
      <c r="Z109" s="32" t="s">
        <v>97</v>
      </c>
      <c r="AA109" s="28"/>
      <c r="AB109" s="28"/>
      <c r="AC109" s="33">
        <f>W109*Y109</f>
        <v>1808237.5000000002</v>
      </c>
      <c r="AE109" s="17"/>
      <c r="AF109" s="30" t="s">
        <v>91</v>
      </c>
      <c r="AG109" s="43">
        <f>AE85</f>
        <v>75</v>
      </c>
      <c r="AH109" s="32" t="s">
        <v>96</v>
      </c>
      <c r="AI109" s="18">
        <f>'Land Values'!G28</f>
        <v>24004.95714285714</v>
      </c>
      <c r="AJ109" s="32" t="s">
        <v>97</v>
      </c>
      <c r="AK109" s="28"/>
      <c r="AL109" s="28"/>
      <c r="AM109" s="33">
        <f>AG109*AI109</f>
        <v>1800371.7857142854</v>
      </c>
    </row>
    <row r="110" spans="1:39" ht="11.1" customHeight="1">
      <c r="A110" s="17"/>
      <c r="B110" s="30" t="s">
        <v>99</v>
      </c>
      <c r="C110" s="43">
        <f>A86</f>
        <v>67.5</v>
      </c>
      <c r="D110" s="32" t="s">
        <v>96</v>
      </c>
      <c r="E110" s="18">
        <f>'Land Values'!D36</f>
        <v>28931.8</v>
      </c>
      <c r="F110" s="32" t="s">
        <v>97</v>
      </c>
      <c r="G110" s="28"/>
      <c r="H110" s="28"/>
      <c r="I110" s="33">
        <f>C110*E110</f>
        <v>1952896.5</v>
      </c>
      <c r="K110" s="17"/>
      <c r="L110" s="30" t="s">
        <v>99</v>
      </c>
      <c r="M110" s="43">
        <f>K86</f>
        <v>60</v>
      </c>
      <c r="N110" s="32" t="s">
        <v>96</v>
      </c>
      <c r="O110" s="18">
        <f>'Land Values'!E36</f>
        <v>28931.8</v>
      </c>
      <c r="P110" s="32" t="s">
        <v>97</v>
      </c>
      <c r="Q110" s="28"/>
      <c r="R110" s="28"/>
      <c r="S110" s="33">
        <f>M110*O110</f>
        <v>1735908</v>
      </c>
      <c r="U110" s="17"/>
      <c r="V110" s="30" t="s">
        <v>99</v>
      </c>
      <c r="W110" s="43">
        <f>U86</f>
        <v>52.5</v>
      </c>
      <c r="X110" s="32" t="s">
        <v>96</v>
      </c>
      <c r="Y110" s="18">
        <f>'Land Values'!F36</f>
        <v>28931.8</v>
      </c>
      <c r="Z110" s="32" t="s">
        <v>97</v>
      </c>
      <c r="AA110" s="28"/>
      <c r="AB110" s="28"/>
      <c r="AC110" s="33">
        <f>W110*Y110</f>
        <v>1518919.5</v>
      </c>
      <c r="AE110" s="17"/>
      <c r="AF110" s="30" t="s">
        <v>99</v>
      </c>
      <c r="AG110" s="43">
        <f>AE86</f>
        <v>45</v>
      </c>
      <c r="AH110" s="32" t="s">
        <v>96</v>
      </c>
      <c r="AI110" s="18">
        <f>'Land Values'!G36</f>
        <v>33606.94</v>
      </c>
      <c r="AJ110" s="32" t="s">
        <v>97</v>
      </c>
      <c r="AK110" s="28"/>
      <c r="AL110" s="28"/>
      <c r="AM110" s="33">
        <f>AG110*AI110</f>
        <v>1512312.3</v>
      </c>
    </row>
    <row r="111" spans="1:39" ht="11.1" customHeight="1">
      <c r="A111" s="4"/>
      <c r="B111" s="30" t="s">
        <v>100</v>
      </c>
      <c r="C111" s="43">
        <f>A87</f>
        <v>45</v>
      </c>
      <c r="D111" s="32" t="s">
        <v>96</v>
      </c>
      <c r="E111" s="18">
        <f>'Land Values'!D44</f>
        <v>36164.75</v>
      </c>
      <c r="F111" s="32" t="s">
        <v>97</v>
      </c>
      <c r="G111" s="155" t="s">
        <v>126</v>
      </c>
      <c r="H111" s="156">
        <f>SUM(I107:I111)</f>
        <v>6718893.9107142854</v>
      </c>
      <c r="I111" s="33">
        <f>C111*E111</f>
        <v>1627413.75</v>
      </c>
      <c r="K111" s="4"/>
      <c r="L111" s="30" t="s">
        <v>100</v>
      </c>
      <c r="M111" s="43">
        <f>K87</f>
        <v>40</v>
      </c>
      <c r="N111" s="32" t="s">
        <v>96</v>
      </c>
      <c r="O111" s="18">
        <f>'Land Values'!E44</f>
        <v>36164.75</v>
      </c>
      <c r="P111" s="32" t="s">
        <v>97</v>
      </c>
      <c r="Q111" s="155" t="s">
        <v>126</v>
      </c>
      <c r="R111" s="156">
        <f>SUM(S107:S111)</f>
        <v>5972350.1428571437</v>
      </c>
      <c r="S111" s="33">
        <f>M111*O111</f>
        <v>1446590</v>
      </c>
      <c r="U111" s="4"/>
      <c r="V111" s="30" t="s">
        <v>100</v>
      </c>
      <c r="W111" s="43">
        <f>U87</f>
        <v>35</v>
      </c>
      <c r="X111" s="32" t="s">
        <v>96</v>
      </c>
      <c r="Y111" s="18">
        <f>'Land Values'!F44</f>
        <v>36164.75</v>
      </c>
      <c r="Z111" s="32" t="s">
        <v>97</v>
      </c>
      <c r="AA111" s="155" t="s">
        <v>126</v>
      </c>
      <c r="AB111" s="156">
        <f>SUM(AC107:AC111)</f>
        <v>5225806.375</v>
      </c>
      <c r="AC111" s="33">
        <f>W111*Y111</f>
        <v>1265766.25</v>
      </c>
      <c r="AE111" s="4"/>
      <c r="AF111" s="30" t="s">
        <v>100</v>
      </c>
      <c r="AG111" s="43">
        <f>AE87</f>
        <v>30</v>
      </c>
      <c r="AH111" s="32" t="s">
        <v>96</v>
      </c>
      <c r="AI111" s="18">
        <f>'Land Values'!G44</f>
        <v>42008.675</v>
      </c>
      <c r="AJ111" s="32" t="s">
        <v>97</v>
      </c>
      <c r="AK111" s="155" t="s">
        <v>126</v>
      </c>
      <c r="AL111" s="156">
        <f>SUM(AM107:AM111)</f>
        <v>5203074.4607142853</v>
      </c>
      <c r="AM111" s="33">
        <f>AG111*AI111</f>
        <v>1260260.25</v>
      </c>
    </row>
    <row r="112" spans="1:39" ht="11.1" customHeight="1">
      <c r="A112" s="17" t="s">
        <v>101</v>
      </c>
      <c r="B112" s="17"/>
      <c r="C112" s="28"/>
      <c r="D112" s="44"/>
      <c r="E112" s="45">
        <f>IF(H111&lt;125000,0%,IF(H111&lt;250000,1%,IF(H111&lt;500000,3%,IF(H111&lt;1000000,4%,IF(H111&gt;1000000,5%)))))</f>
        <v>0.05</v>
      </c>
      <c r="F112" s="32"/>
      <c r="G112" s="28"/>
      <c r="H112" s="28"/>
      <c r="I112" s="33">
        <f>SUM(I107:I111)*E112</f>
        <v>335944.69553571427</v>
      </c>
      <c r="K112" s="17" t="s">
        <v>101</v>
      </c>
      <c r="L112" s="17"/>
      <c r="M112" s="28"/>
      <c r="N112" s="44"/>
      <c r="O112" s="45">
        <f>IF(R111&lt;125000,0%,IF(R111&lt;250000,1%,IF(R111&lt;500000,3%,IF(R111&lt;1000000,4%,IF(R111&gt;1000000,5%)))))</f>
        <v>0.05</v>
      </c>
      <c r="P112" s="32"/>
      <c r="Q112" s="28"/>
      <c r="R112" s="28"/>
      <c r="S112" s="33">
        <f>SUM(S107:S111)*O112</f>
        <v>298617.50714285718</v>
      </c>
      <c r="U112" s="17" t="s">
        <v>101</v>
      </c>
      <c r="V112" s="17"/>
      <c r="W112" s="28"/>
      <c r="X112" s="44"/>
      <c r="Y112" s="45">
        <f>IF(AB111&lt;125000,0%,IF(AB111&lt;250000,1%,IF(AB111&lt;500000,3%,IF(AB111&lt;1000000,4%,IF(AB111&gt;1000000,5%)))))</f>
        <v>0.05</v>
      </c>
      <c r="Z112" s="32"/>
      <c r="AA112" s="28"/>
      <c r="AB112" s="28"/>
      <c r="AC112" s="33">
        <f>SUM(AC107:AC111)*Y112</f>
        <v>261290.31875</v>
      </c>
      <c r="AE112" s="17" t="s">
        <v>101</v>
      </c>
      <c r="AF112" s="17"/>
      <c r="AG112" s="28"/>
      <c r="AH112" s="44"/>
      <c r="AI112" s="45">
        <f>IF(AL111&lt;125000,0%,IF(AL111&lt;250000,1%,IF(AL111&lt;500000,3%,IF(AL111&lt;1000000,4%,IF(AL111&gt;1000000,5%)))))</f>
        <v>0.05</v>
      </c>
      <c r="AJ112" s="32"/>
      <c r="AK112" s="28"/>
      <c r="AL112" s="28"/>
      <c r="AM112" s="33">
        <f>SUM(AM107:AM111)*AI112</f>
        <v>260153.72303571427</v>
      </c>
    </row>
    <row r="113" spans="1:39" ht="11.1" customHeight="1">
      <c r="A113" s="25" t="s">
        <v>10</v>
      </c>
      <c r="B113" s="26"/>
      <c r="C113" s="26"/>
      <c r="D113" s="34"/>
      <c r="E113" s="26"/>
      <c r="F113" s="34"/>
      <c r="G113" s="26"/>
      <c r="H113" s="26"/>
      <c r="I113" s="40"/>
      <c r="K113" s="25" t="s">
        <v>10</v>
      </c>
      <c r="L113" s="26"/>
      <c r="M113" s="26"/>
      <c r="N113" s="34"/>
      <c r="O113" s="26"/>
      <c r="P113" s="34"/>
      <c r="Q113" s="26"/>
      <c r="R113" s="26"/>
      <c r="S113" s="40"/>
      <c r="U113" s="25" t="s">
        <v>10</v>
      </c>
      <c r="V113" s="26"/>
      <c r="W113" s="26"/>
      <c r="X113" s="34"/>
      <c r="Y113" s="26"/>
      <c r="Z113" s="34"/>
      <c r="AA113" s="26"/>
      <c r="AB113" s="26"/>
      <c r="AC113" s="40"/>
      <c r="AE113" s="25" t="s">
        <v>10</v>
      </c>
      <c r="AF113" s="26"/>
      <c r="AG113" s="26"/>
      <c r="AH113" s="34"/>
      <c r="AI113" s="26"/>
      <c r="AJ113" s="34"/>
      <c r="AK113" s="26"/>
      <c r="AL113" s="26"/>
      <c r="AM113" s="40"/>
    </row>
    <row r="114" spans="1:39" ht="11.1" customHeight="1">
      <c r="A114" s="29">
        <f>A83+A90+A95+A100</f>
        <v>0</v>
      </c>
      <c r="B114" s="30" t="s">
        <v>36</v>
      </c>
      <c r="C114" s="28"/>
      <c r="D114" s="32"/>
      <c r="E114" s="18">
        <f>Assumptions!$G$22</f>
        <v>1096</v>
      </c>
      <c r="F114" s="32" t="s">
        <v>6</v>
      </c>
      <c r="G114" s="46">
        <f>Assumptions!$D$22</f>
        <v>1.15</v>
      </c>
      <c r="H114" s="32" t="s">
        <v>11</v>
      </c>
      <c r="I114" s="33">
        <f>(A83*C83*E114*G114)+(A90*C90*E114*G114)</f>
        <v>0</v>
      </c>
      <c r="K114" s="29">
        <f>K83+K90+K95+K100</f>
        <v>0</v>
      </c>
      <c r="L114" s="30" t="s">
        <v>36</v>
      </c>
      <c r="M114" s="28"/>
      <c r="N114" s="32"/>
      <c r="O114" s="18">
        <f>Assumptions!$G$22</f>
        <v>1096</v>
      </c>
      <c r="P114" s="32" t="s">
        <v>6</v>
      </c>
      <c r="Q114" s="46">
        <f>Assumptions!$D$22</f>
        <v>1.15</v>
      </c>
      <c r="R114" s="32" t="s">
        <v>11</v>
      </c>
      <c r="S114" s="33">
        <f>(K83*M83*O114*Q114)+(K90*M90*O114*Q114)</f>
        <v>0</v>
      </c>
      <c r="U114" s="29">
        <f>U83+U90+U95+U100</f>
        <v>0</v>
      </c>
      <c r="V114" s="30" t="s">
        <v>36</v>
      </c>
      <c r="W114" s="28"/>
      <c r="X114" s="32"/>
      <c r="Y114" s="18">
        <f>Assumptions!$G$22</f>
        <v>1096</v>
      </c>
      <c r="Z114" s="32" t="s">
        <v>6</v>
      </c>
      <c r="AA114" s="46">
        <f>Assumptions!$D$22</f>
        <v>1.15</v>
      </c>
      <c r="AB114" s="32" t="s">
        <v>11</v>
      </c>
      <c r="AC114" s="33">
        <f>(U83*W83*Y114*AA114)+(U90*W90*Y114*AA114)</f>
        <v>0</v>
      </c>
      <c r="AE114" s="29">
        <f>AE83+AE90+AE95+AE100</f>
        <v>0</v>
      </c>
      <c r="AF114" s="30" t="s">
        <v>36</v>
      </c>
      <c r="AG114" s="28"/>
      <c r="AH114" s="32"/>
      <c r="AI114" s="18">
        <f>Assumptions!$G$22</f>
        <v>1096</v>
      </c>
      <c r="AJ114" s="32" t="s">
        <v>6</v>
      </c>
      <c r="AK114" s="46">
        <f>Assumptions!$D$22</f>
        <v>1.15</v>
      </c>
      <c r="AL114" s="32" t="s">
        <v>11</v>
      </c>
      <c r="AM114" s="33">
        <f>(AE83*AG83*AI114*AK114)+(AE90*AG90*AI114*AK114)</f>
        <v>0</v>
      </c>
    </row>
    <row r="115" spans="1:39" ht="11.1" customHeight="1">
      <c r="A115" s="29">
        <f>A84+A91+A96+A101</f>
        <v>66</v>
      </c>
      <c r="B115" s="30" t="s">
        <v>102</v>
      </c>
      <c r="C115" s="28"/>
      <c r="D115" s="32"/>
      <c r="E115" s="18">
        <f>Assumptions!$G$23</f>
        <v>899</v>
      </c>
      <c r="F115" s="32" t="s">
        <v>6</v>
      </c>
      <c r="G115" s="28"/>
      <c r="H115" s="28"/>
      <c r="I115" s="33">
        <f>(A84*C84*E115)+(A91*C91*E115)</f>
        <v>4601082</v>
      </c>
      <c r="K115" s="29">
        <f>K84+K91+K96+K101</f>
        <v>82</v>
      </c>
      <c r="L115" s="30" t="s">
        <v>102</v>
      </c>
      <c r="M115" s="28"/>
      <c r="N115" s="32"/>
      <c r="O115" s="18">
        <f>Assumptions!$G$23</f>
        <v>899</v>
      </c>
      <c r="P115" s="32" t="s">
        <v>6</v>
      </c>
      <c r="Q115" s="28"/>
      <c r="R115" s="28"/>
      <c r="S115" s="33">
        <f>(K84*M84*O115)+(K91*M91*O115)</f>
        <v>5830914</v>
      </c>
      <c r="U115" s="29">
        <f>U84+U91+U96+U101</f>
        <v>98</v>
      </c>
      <c r="V115" s="30" t="s">
        <v>102</v>
      </c>
      <c r="W115" s="28"/>
      <c r="X115" s="32"/>
      <c r="Y115" s="18">
        <f>Assumptions!$G$23</f>
        <v>899</v>
      </c>
      <c r="Z115" s="32" t="s">
        <v>6</v>
      </c>
      <c r="AA115" s="28"/>
      <c r="AB115" s="28"/>
      <c r="AC115" s="33">
        <f>(U84*W84*Y115)+(U91*W91*Y115)</f>
        <v>7060745.9999999991</v>
      </c>
      <c r="AE115" s="29">
        <f>AE84+AE91+AE96+AE101</f>
        <v>114</v>
      </c>
      <c r="AF115" s="30" t="s">
        <v>102</v>
      </c>
      <c r="AG115" s="28"/>
      <c r="AH115" s="32"/>
      <c r="AI115" s="18">
        <f>Assumptions!$G$23</f>
        <v>899</v>
      </c>
      <c r="AJ115" s="32" t="s">
        <v>6</v>
      </c>
      <c r="AK115" s="28"/>
      <c r="AL115" s="28"/>
      <c r="AM115" s="33">
        <f>(AE84*AG84*AI115)+(AE91*AG91*AI115)</f>
        <v>8290578</v>
      </c>
    </row>
    <row r="116" spans="1:39" ht="11.1" customHeight="1">
      <c r="A116" s="29">
        <f>A85+A92+A97+A102</f>
        <v>121.5</v>
      </c>
      <c r="B116" s="30" t="s">
        <v>103</v>
      </c>
      <c r="C116" s="28"/>
      <c r="D116" s="32"/>
      <c r="E116" s="18">
        <f>Assumptions!$G$24</f>
        <v>899</v>
      </c>
      <c r="F116" s="32" t="s">
        <v>6</v>
      </c>
      <c r="G116" s="28"/>
      <c r="H116" s="28"/>
      <c r="I116" s="33">
        <f>(A85*C85*E116)+(A92*C92*E116)</f>
        <v>9660654</v>
      </c>
      <c r="K116" s="29">
        <f>K85+K92+K97+K102</f>
        <v>118</v>
      </c>
      <c r="L116" s="30" t="s">
        <v>103</v>
      </c>
      <c r="M116" s="28"/>
      <c r="N116" s="32"/>
      <c r="O116" s="18">
        <f>Assumptions!$G$24</f>
        <v>899</v>
      </c>
      <c r="P116" s="32" t="s">
        <v>6</v>
      </c>
      <c r="Q116" s="28"/>
      <c r="R116" s="28"/>
      <c r="S116" s="33">
        <f>(K85*M85*O116)+(K92*M92*O116)</f>
        <v>9432308</v>
      </c>
      <c r="U116" s="29">
        <f>U85+U92+U97+U102</f>
        <v>114.5</v>
      </c>
      <c r="V116" s="30" t="s">
        <v>103</v>
      </c>
      <c r="W116" s="28"/>
      <c r="X116" s="32"/>
      <c r="Y116" s="18">
        <f>Assumptions!$G$24</f>
        <v>899</v>
      </c>
      <c r="Z116" s="32" t="s">
        <v>6</v>
      </c>
      <c r="AA116" s="28"/>
      <c r="AB116" s="28"/>
      <c r="AC116" s="33">
        <f>(U85*W85*Y116)+(U92*W92*Y116)</f>
        <v>9203962</v>
      </c>
      <c r="AE116" s="29">
        <f>AE85+AE92+AE97+AE102</f>
        <v>111</v>
      </c>
      <c r="AF116" s="30" t="s">
        <v>103</v>
      </c>
      <c r="AG116" s="28"/>
      <c r="AH116" s="32"/>
      <c r="AI116" s="18">
        <f>Assumptions!$G$24</f>
        <v>899</v>
      </c>
      <c r="AJ116" s="32" t="s">
        <v>6</v>
      </c>
      <c r="AK116" s="28"/>
      <c r="AL116" s="28"/>
      <c r="AM116" s="33">
        <f>(AE85*AG85*AI116)+(AE92*AG92*AI116)</f>
        <v>8975616</v>
      </c>
    </row>
    <row r="117" spans="1:39" ht="11.1" customHeight="1">
      <c r="A117" s="29">
        <f>A86</f>
        <v>67.5</v>
      </c>
      <c r="B117" s="30" t="s">
        <v>104</v>
      </c>
      <c r="C117" s="28"/>
      <c r="D117" s="32"/>
      <c r="E117" s="18">
        <f>Assumptions!$G$25</f>
        <v>899</v>
      </c>
      <c r="F117" s="32" t="s">
        <v>6</v>
      </c>
      <c r="G117" s="28"/>
      <c r="H117" s="28"/>
      <c r="I117" s="33">
        <f>(A86*C86*E117)</f>
        <v>7281900</v>
      </c>
      <c r="K117" s="29">
        <f>K86</f>
        <v>60</v>
      </c>
      <c r="L117" s="30" t="s">
        <v>104</v>
      </c>
      <c r="M117" s="28"/>
      <c r="N117" s="32"/>
      <c r="O117" s="18">
        <f>Assumptions!$G$25</f>
        <v>899</v>
      </c>
      <c r="P117" s="32" t="s">
        <v>6</v>
      </c>
      <c r="Q117" s="28"/>
      <c r="R117" s="28"/>
      <c r="S117" s="33">
        <f>(K86*M86*O117)</f>
        <v>6472800</v>
      </c>
      <c r="U117" s="29">
        <f>U86</f>
        <v>52.5</v>
      </c>
      <c r="V117" s="30" t="s">
        <v>104</v>
      </c>
      <c r="W117" s="28"/>
      <c r="X117" s="32"/>
      <c r="Y117" s="18">
        <f>Assumptions!$G$25</f>
        <v>899</v>
      </c>
      <c r="Z117" s="32" t="s">
        <v>6</v>
      </c>
      <c r="AA117" s="28"/>
      <c r="AB117" s="28"/>
      <c r="AC117" s="33">
        <f>(U86*W86*Y117)</f>
        <v>5663700</v>
      </c>
      <c r="AE117" s="29">
        <f>AE86</f>
        <v>45</v>
      </c>
      <c r="AF117" s="30" t="s">
        <v>104</v>
      </c>
      <c r="AG117" s="28"/>
      <c r="AH117" s="32"/>
      <c r="AI117" s="18">
        <f>Assumptions!$G$25</f>
        <v>899</v>
      </c>
      <c r="AJ117" s="32" t="s">
        <v>6</v>
      </c>
      <c r="AK117" s="28"/>
      <c r="AL117" s="28"/>
      <c r="AM117" s="33">
        <f>(AE86*AG86*AI117)</f>
        <v>4854600</v>
      </c>
    </row>
    <row r="118" spans="1:39" ht="11.1" customHeight="1">
      <c r="A118" s="29">
        <f>A87</f>
        <v>45</v>
      </c>
      <c r="B118" s="30" t="s">
        <v>105</v>
      </c>
      <c r="C118" s="28"/>
      <c r="D118" s="32"/>
      <c r="E118" s="18">
        <f>Assumptions!$G$26</f>
        <v>899</v>
      </c>
      <c r="F118" s="32" t="s">
        <v>6</v>
      </c>
      <c r="G118" s="28"/>
      <c r="H118" s="28"/>
      <c r="I118" s="33">
        <f>(A87*C87*E118)</f>
        <v>6068250</v>
      </c>
      <c r="K118" s="29">
        <f>K87</f>
        <v>40</v>
      </c>
      <c r="L118" s="30" t="s">
        <v>105</v>
      </c>
      <c r="M118" s="28"/>
      <c r="N118" s="32"/>
      <c r="O118" s="18">
        <f>Assumptions!$G$26</f>
        <v>899</v>
      </c>
      <c r="P118" s="32" t="s">
        <v>6</v>
      </c>
      <c r="Q118" s="28"/>
      <c r="R118" s="28"/>
      <c r="S118" s="33">
        <f>(K87*M87*O118)</f>
        <v>5394000</v>
      </c>
      <c r="U118" s="29">
        <f>U87</f>
        <v>35</v>
      </c>
      <c r="V118" s="30" t="s">
        <v>105</v>
      </c>
      <c r="W118" s="28"/>
      <c r="X118" s="32"/>
      <c r="Y118" s="18">
        <f>Assumptions!$G$26</f>
        <v>899</v>
      </c>
      <c r="Z118" s="32" t="s">
        <v>6</v>
      </c>
      <c r="AA118" s="28"/>
      <c r="AB118" s="28"/>
      <c r="AC118" s="33">
        <f>(U87*W87*Y118)</f>
        <v>4719750</v>
      </c>
      <c r="AE118" s="29">
        <f>AE87</f>
        <v>30</v>
      </c>
      <c r="AF118" s="30" t="s">
        <v>105</v>
      </c>
      <c r="AG118" s="28"/>
      <c r="AH118" s="32"/>
      <c r="AI118" s="18">
        <f>Assumptions!$G$26</f>
        <v>899</v>
      </c>
      <c r="AJ118" s="32" t="s">
        <v>6</v>
      </c>
      <c r="AK118" s="28"/>
      <c r="AL118" s="28"/>
      <c r="AM118" s="33">
        <f>(AE87*AG87*AI118)</f>
        <v>4045500</v>
      </c>
    </row>
    <row r="119" spans="1:39" ht="11.1" customHeight="1">
      <c r="A119" s="38">
        <f>SUM(A114:A118)</f>
        <v>300</v>
      </c>
      <c r="B119" s="26"/>
      <c r="C119" s="47">
        <f>SUM(A114*C114*G114)+(A115*C115)+(A116*C116)+(A117*C117)+(A118*C118)</f>
        <v>0</v>
      </c>
      <c r="D119" s="34" t="s">
        <v>106</v>
      </c>
      <c r="E119" s="26"/>
      <c r="F119" s="34"/>
      <c r="G119" s="26"/>
      <c r="H119" s="26"/>
      <c r="I119" s="40"/>
      <c r="K119" s="38">
        <f>SUM(K114:K118)</f>
        <v>300</v>
      </c>
      <c r="L119" s="26"/>
      <c r="M119" s="47">
        <f>SUM(K114*M114*Q114)+(K115*M115)+(K116*M116)+(K117*M117)+(K118*M118)</f>
        <v>0</v>
      </c>
      <c r="N119" s="34" t="s">
        <v>106</v>
      </c>
      <c r="O119" s="26"/>
      <c r="P119" s="34"/>
      <c r="Q119" s="26"/>
      <c r="R119" s="26"/>
      <c r="S119" s="40"/>
      <c r="U119" s="38">
        <f>SUM(U114:U118)</f>
        <v>300</v>
      </c>
      <c r="V119" s="26"/>
      <c r="W119" s="47">
        <f>SUM(U114*W114*AA114)+(U115*W115)+(U116*W116)+(U117*W117)+(U118*W118)</f>
        <v>0</v>
      </c>
      <c r="X119" s="34" t="s">
        <v>106</v>
      </c>
      <c r="Y119" s="26"/>
      <c r="Z119" s="34"/>
      <c r="AA119" s="26"/>
      <c r="AB119" s="26"/>
      <c r="AC119" s="40"/>
      <c r="AE119" s="38">
        <f>SUM(AE114:AE118)</f>
        <v>300</v>
      </c>
      <c r="AF119" s="26"/>
      <c r="AG119" s="47">
        <f>SUM(AE114*AG114*AK114)+(AE115*AG115)+(AE116*AG116)+(AE117*AG117)+(AE118*AG118)</f>
        <v>0</v>
      </c>
      <c r="AH119" s="34" t="s">
        <v>106</v>
      </c>
      <c r="AI119" s="26"/>
      <c r="AJ119" s="34"/>
      <c r="AK119" s="26"/>
      <c r="AL119" s="26"/>
      <c r="AM119" s="40"/>
    </row>
    <row r="120" spans="1:39" ht="11.1" customHeight="1">
      <c r="A120" s="17" t="s">
        <v>137</v>
      </c>
      <c r="B120" s="4"/>
      <c r="E120" s="71">
        <f>IF(E108&lt;25000,0,IF(E108&gt;25000,(E108*Assumptions!$D$211)))</f>
        <v>0</v>
      </c>
      <c r="F120" s="48" t="s">
        <v>138</v>
      </c>
      <c r="I120" s="33">
        <f>D78*E120</f>
        <v>0</v>
      </c>
      <c r="K120" s="17" t="s">
        <v>137</v>
      </c>
      <c r="L120" s="4"/>
      <c r="O120" s="71">
        <f>IF(O108&lt;25000,0,IF(O108&gt;25000,(O108*Assumptions!$D$211)))</f>
        <v>0</v>
      </c>
      <c r="P120" s="48" t="s">
        <v>138</v>
      </c>
      <c r="S120" s="33">
        <f>N78*O120</f>
        <v>0</v>
      </c>
      <c r="U120" s="17" t="s">
        <v>137</v>
      </c>
      <c r="V120" s="4"/>
      <c r="Y120" s="71">
        <f>IF(Y108&lt;25000,0,IF(Y108&gt;25000,(Y108*Assumptions!$D$211)))</f>
        <v>0</v>
      </c>
      <c r="Z120" s="48" t="s">
        <v>138</v>
      </c>
      <c r="AC120" s="33">
        <f>X78*Y120</f>
        <v>0</v>
      </c>
      <c r="AE120" s="17" t="s">
        <v>137</v>
      </c>
      <c r="AF120" s="4"/>
      <c r="AI120" s="71">
        <f>IF(AI108&lt;25000,0,IF(AI108&gt;25000,(AI108*Assumptions!$D$211)))</f>
        <v>0</v>
      </c>
      <c r="AJ120" s="48" t="s">
        <v>138</v>
      </c>
      <c r="AM120" s="33">
        <f>AH78*AI120</f>
        <v>0</v>
      </c>
    </row>
    <row r="121" spans="1:39" ht="11.1" customHeight="1">
      <c r="A121" s="17" t="s">
        <v>119</v>
      </c>
      <c r="B121" s="17"/>
      <c r="C121" s="49"/>
      <c r="D121" s="28"/>
      <c r="E121" s="73">
        <f>Assumptions!$E$44</f>
        <v>0.08</v>
      </c>
      <c r="F121" s="32" t="s">
        <v>14</v>
      </c>
      <c r="G121" s="28"/>
      <c r="H121" s="28"/>
      <c r="I121" s="33">
        <f>SUM(I114:I118)*E121</f>
        <v>2208950.88</v>
      </c>
      <c r="K121" s="17" t="s">
        <v>119</v>
      </c>
      <c r="L121" s="17"/>
      <c r="M121" s="49"/>
      <c r="N121" s="28"/>
      <c r="O121" s="73">
        <f>Assumptions!$E$44</f>
        <v>0.08</v>
      </c>
      <c r="P121" s="32" t="s">
        <v>14</v>
      </c>
      <c r="Q121" s="28"/>
      <c r="R121" s="28"/>
      <c r="S121" s="33">
        <f>SUM(S114:S118)*O121</f>
        <v>2170401.7600000002</v>
      </c>
      <c r="U121" s="17" t="s">
        <v>119</v>
      </c>
      <c r="V121" s="17"/>
      <c r="W121" s="49"/>
      <c r="X121" s="28"/>
      <c r="Y121" s="73">
        <f>Assumptions!$E$44</f>
        <v>0.08</v>
      </c>
      <c r="Z121" s="32" t="s">
        <v>14</v>
      </c>
      <c r="AA121" s="28"/>
      <c r="AB121" s="28"/>
      <c r="AC121" s="33">
        <f>SUM(AC114:AC118)*Y121</f>
        <v>2131852.64</v>
      </c>
      <c r="AE121" s="17" t="s">
        <v>119</v>
      </c>
      <c r="AF121" s="17"/>
      <c r="AG121" s="49"/>
      <c r="AH121" s="28"/>
      <c r="AI121" s="73">
        <f>Assumptions!$E$44</f>
        <v>0.08</v>
      </c>
      <c r="AJ121" s="32" t="s">
        <v>14</v>
      </c>
      <c r="AK121" s="28"/>
      <c r="AL121" s="28"/>
      <c r="AM121" s="33">
        <f>SUM(AM114:AM118)*AI121</f>
        <v>2093303.52</v>
      </c>
    </row>
    <row r="122" spans="1:39" ht="11.1" customHeight="1">
      <c r="A122" s="17" t="s">
        <v>15</v>
      </c>
      <c r="B122" s="17"/>
      <c r="C122" s="49"/>
      <c r="D122" s="28"/>
      <c r="E122" s="73">
        <f>Assumptions!$E$45</f>
        <v>0.005</v>
      </c>
      <c r="F122" s="32" t="s">
        <v>16</v>
      </c>
      <c r="G122" s="28"/>
      <c r="H122" s="28"/>
      <c r="I122" s="33">
        <f>I104*E122</f>
        <v>285570.855</v>
      </c>
      <c r="K122" s="17" t="s">
        <v>15</v>
      </c>
      <c r="L122" s="17"/>
      <c r="M122" s="49"/>
      <c r="N122" s="28"/>
      <c r="O122" s="73">
        <f>Assumptions!$E$45</f>
        <v>0.005</v>
      </c>
      <c r="P122" s="32" t="s">
        <v>16</v>
      </c>
      <c r="Q122" s="28"/>
      <c r="R122" s="28"/>
      <c r="S122" s="33">
        <f>S104*O122</f>
        <v>266635.44</v>
      </c>
      <c r="U122" s="17" t="s">
        <v>15</v>
      </c>
      <c r="V122" s="17"/>
      <c r="W122" s="49"/>
      <c r="X122" s="28"/>
      <c r="Y122" s="73">
        <f>Assumptions!$E$45</f>
        <v>0.005</v>
      </c>
      <c r="Z122" s="32" t="s">
        <v>16</v>
      </c>
      <c r="AA122" s="28"/>
      <c r="AB122" s="28"/>
      <c r="AC122" s="33">
        <f>AC104*Y122</f>
        <v>248891.73</v>
      </c>
      <c r="AE122" s="17" t="s">
        <v>15</v>
      </c>
      <c r="AF122" s="17"/>
      <c r="AG122" s="49"/>
      <c r="AH122" s="28"/>
      <c r="AI122" s="73">
        <f>Assumptions!$E$45</f>
        <v>0.005</v>
      </c>
      <c r="AJ122" s="32" t="s">
        <v>16</v>
      </c>
      <c r="AK122" s="28"/>
      <c r="AL122" s="28"/>
      <c r="AM122" s="33">
        <f>AM104*AI122</f>
        <v>245971.44</v>
      </c>
    </row>
    <row r="123" spans="1:39" ht="11.1" customHeight="1">
      <c r="A123" s="17" t="s">
        <v>17</v>
      </c>
      <c r="B123" s="17"/>
      <c r="C123" s="49"/>
      <c r="D123" s="28"/>
      <c r="E123" s="73">
        <f>Assumptions!$E$46</f>
        <v>0.011</v>
      </c>
      <c r="F123" s="32" t="s">
        <v>14</v>
      </c>
      <c r="G123" s="28"/>
      <c r="H123" s="28"/>
      <c r="I123" s="33">
        <f>SUM(I114:I118)*E123</f>
        <v>303730.746</v>
      </c>
      <c r="K123" s="17" t="s">
        <v>17</v>
      </c>
      <c r="L123" s="17"/>
      <c r="M123" s="49"/>
      <c r="N123" s="28"/>
      <c r="O123" s="73">
        <f>Assumptions!$E$46</f>
        <v>0.011</v>
      </c>
      <c r="P123" s="32" t="s">
        <v>14</v>
      </c>
      <c r="Q123" s="28"/>
      <c r="R123" s="28"/>
      <c r="S123" s="33">
        <f>SUM(S114:S118)*O123</f>
        <v>298430.24199999997</v>
      </c>
      <c r="U123" s="17" t="s">
        <v>17</v>
      </c>
      <c r="V123" s="17"/>
      <c r="W123" s="49"/>
      <c r="X123" s="28"/>
      <c r="Y123" s="73">
        <f>Assumptions!$E$46</f>
        <v>0.011</v>
      </c>
      <c r="Z123" s="32" t="s">
        <v>14</v>
      </c>
      <c r="AA123" s="28"/>
      <c r="AB123" s="28"/>
      <c r="AC123" s="33">
        <f>SUM(AC114:AC118)*Y123</f>
        <v>293129.73799999995</v>
      </c>
      <c r="AE123" s="17" t="s">
        <v>17</v>
      </c>
      <c r="AF123" s="17"/>
      <c r="AG123" s="49"/>
      <c r="AH123" s="28"/>
      <c r="AI123" s="73">
        <f>Assumptions!$E$46</f>
        <v>0.011</v>
      </c>
      <c r="AJ123" s="32" t="s">
        <v>14</v>
      </c>
      <c r="AK123" s="28"/>
      <c r="AL123" s="28"/>
      <c r="AM123" s="33">
        <f>SUM(AM114:AM118)*AI123</f>
        <v>287829.234</v>
      </c>
    </row>
    <row r="124" spans="1:39" ht="11.1" customHeight="1">
      <c r="A124" s="17" t="s">
        <v>18</v>
      </c>
      <c r="B124" s="17"/>
      <c r="C124" s="49"/>
      <c r="D124" s="28"/>
      <c r="E124" s="73">
        <f>Assumptions!$E$47</f>
        <v>0.02</v>
      </c>
      <c r="F124" s="32" t="s">
        <v>50</v>
      </c>
      <c r="G124" s="28"/>
      <c r="H124" s="28"/>
      <c r="I124" s="33">
        <f>SUM(I83:I87)*E124</f>
        <v>1096875</v>
      </c>
      <c r="K124" s="17" t="s">
        <v>18</v>
      </c>
      <c r="L124" s="17"/>
      <c r="M124" s="49"/>
      <c r="N124" s="28"/>
      <c r="O124" s="73">
        <f>Assumptions!$E$47</f>
        <v>0.02</v>
      </c>
      <c r="P124" s="32" t="s">
        <v>50</v>
      </c>
      <c r="Q124" s="28"/>
      <c r="R124" s="28"/>
      <c r="S124" s="33">
        <f>SUM(S83:S87)*O124</f>
        <v>975000</v>
      </c>
      <c r="U124" s="17" t="s">
        <v>18</v>
      </c>
      <c r="V124" s="17"/>
      <c r="W124" s="49"/>
      <c r="X124" s="28"/>
      <c r="Y124" s="73">
        <f>Assumptions!$E$47</f>
        <v>0.02</v>
      </c>
      <c r="Z124" s="32" t="s">
        <v>50</v>
      </c>
      <c r="AA124" s="28"/>
      <c r="AB124" s="28"/>
      <c r="AC124" s="33">
        <f>SUM(AC83:AC87)*Y124</f>
        <v>853125</v>
      </c>
      <c r="AE124" s="17" t="s">
        <v>18</v>
      </c>
      <c r="AF124" s="17"/>
      <c r="AG124" s="49"/>
      <c r="AH124" s="28"/>
      <c r="AI124" s="73">
        <f>Assumptions!$E$47</f>
        <v>0.02</v>
      </c>
      <c r="AJ124" s="32" t="s">
        <v>50</v>
      </c>
      <c r="AK124" s="28"/>
      <c r="AL124" s="28"/>
      <c r="AM124" s="33">
        <f>SUM(AM83:AM87)*AI124</f>
        <v>768750</v>
      </c>
    </row>
    <row r="125" spans="1:39" ht="11.1" customHeight="1">
      <c r="A125" s="17" t="s">
        <v>19</v>
      </c>
      <c r="B125" s="17"/>
      <c r="C125" s="50"/>
      <c r="D125" s="28"/>
      <c r="E125" s="73">
        <f>Assumptions!$E$48</f>
        <v>0.05</v>
      </c>
      <c r="F125" s="32" t="s">
        <v>14</v>
      </c>
      <c r="G125" s="28"/>
      <c r="H125" s="28"/>
      <c r="I125" s="33">
        <f>SUM(I114:I120)*E125</f>
        <v>1380594.3</v>
      </c>
      <c r="K125" s="17" t="s">
        <v>19</v>
      </c>
      <c r="L125" s="17"/>
      <c r="M125" s="50"/>
      <c r="N125" s="28"/>
      <c r="O125" s="73">
        <f>Assumptions!$E$48</f>
        <v>0.05</v>
      </c>
      <c r="P125" s="32" t="s">
        <v>14</v>
      </c>
      <c r="Q125" s="28"/>
      <c r="R125" s="28"/>
      <c r="S125" s="33">
        <f>SUM(S114:S120)*O125</f>
        <v>1356501.1</v>
      </c>
      <c r="U125" s="17" t="s">
        <v>19</v>
      </c>
      <c r="V125" s="17"/>
      <c r="W125" s="50"/>
      <c r="X125" s="28"/>
      <c r="Y125" s="73">
        <f>Assumptions!$E$48</f>
        <v>0.05</v>
      </c>
      <c r="Z125" s="32" t="s">
        <v>14</v>
      </c>
      <c r="AA125" s="28"/>
      <c r="AB125" s="28"/>
      <c r="AC125" s="33">
        <f>SUM(AC114:AC120)*Y125</f>
        <v>1332407.9000000001</v>
      </c>
      <c r="AE125" s="17" t="s">
        <v>19</v>
      </c>
      <c r="AF125" s="17"/>
      <c r="AG125" s="50"/>
      <c r="AH125" s="28"/>
      <c r="AI125" s="73">
        <f>Assumptions!$E$48</f>
        <v>0.05</v>
      </c>
      <c r="AJ125" s="32" t="s">
        <v>14</v>
      </c>
      <c r="AK125" s="28"/>
      <c r="AL125" s="28"/>
      <c r="AM125" s="33">
        <f>SUM(AM114:AM120)*AI125</f>
        <v>1308314.7000000002</v>
      </c>
    </row>
    <row r="126" spans="1:39" ht="11.1" customHeight="1">
      <c r="A126" s="17" t="s">
        <v>20</v>
      </c>
      <c r="B126" s="4"/>
      <c r="C126" s="13"/>
      <c r="E126" s="74">
        <f>Assumptions!$E$49</f>
        <v>4000</v>
      </c>
      <c r="F126" s="32" t="s">
        <v>51</v>
      </c>
      <c r="I126" s="36">
        <f>A103*E126</f>
        <v>1200000</v>
      </c>
      <c r="K126" s="17" t="s">
        <v>20</v>
      </c>
      <c r="L126" s="4"/>
      <c r="M126" s="13"/>
      <c r="O126" s="74">
        <f>Assumptions!$E$49</f>
        <v>4000</v>
      </c>
      <c r="P126" s="32" t="s">
        <v>51</v>
      </c>
      <c r="S126" s="36">
        <f>K103*O126</f>
        <v>1200000</v>
      </c>
      <c r="U126" s="17" t="s">
        <v>20</v>
      </c>
      <c r="V126" s="4"/>
      <c r="W126" s="13"/>
      <c r="Y126" s="74">
        <f>Assumptions!$E$49</f>
        <v>4000</v>
      </c>
      <c r="Z126" s="32" t="s">
        <v>51</v>
      </c>
      <c r="AC126" s="36">
        <f>U103*Y126</f>
        <v>1200000</v>
      </c>
      <c r="AE126" s="17" t="s">
        <v>20</v>
      </c>
      <c r="AF126" s="4"/>
      <c r="AG126" s="13"/>
      <c r="AI126" s="74">
        <f>Assumptions!$E$49</f>
        <v>4000</v>
      </c>
      <c r="AJ126" s="32" t="s">
        <v>51</v>
      </c>
      <c r="AM126" s="36">
        <f>AE103*AI126</f>
        <v>1200000</v>
      </c>
    </row>
    <row r="127" spans="1:39" ht="11.1" customHeight="1">
      <c r="A127" s="17" t="s">
        <v>121</v>
      </c>
      <c r="B127" s="17"/>
      <c r="C127" s="45">
        <f>Assumptions!$C$50</f>
        <v>0.05</v>
      </c>
      <c r="D127" s="72">
        <f>Assumptions!$D$50</f>
        <v>12</v>
      </c>
      <c r="E127" s="32" t="s">
        <v>22</v>
      </c>
      <c r="F127" s="28"/>
      <c r="G127" s="71">
        <f>Assumptions!$G$50</f>
        <v>6</v>
      </c>
      <c r="H127" s="32" t="s">
        <v>110</v>
      </c>
      <c r="I127" s="33">
        <f>(((SUM(I107:I112)*POWER((1+C127/12),((D127+G127)/12)*12))-SUM(I107:I112))      +           ((((SUM(I114:I126)*POWER((1+C127/12),((D127+G127)/12)*12))-SUM(I114:I126))*0.5)))</f>
        <v>1872855.1837635618</v>
      </c>
      <c r="K127" s="17" t="s">
        <v>121</v>
      </c>
      <c r="L127" s="17"/>
      <c r="M127" s="45">
        <f>Assumptions!$C$50</f>
        <v>0.05</v>
      </c>
      <c r="N127" s="72">
        <f>Assumptions!$D$50</f>
        <v>12</v>
      </c>
      <c r="O127" s="32" t="s">
        <v>22</v>
      </c>
      <c r="P127" s="28"/>
      <c r="Q127" s="71">
        <f>Assumptions!$G$50</f>
        <v>6</v>
      </c>
      <c r="R127" s="32" t="s">
        <v>110</v>
      </c>
      <c r="S127" s="33">
        <f>(((SUM(S107:S112)*POWER((1+M127/12),((N127+Q127)/12)*12))-SUM(S107:S112))      +           ((((SUM(S114:S126)*POWER((1+M127/12),((N127+Q127)/12)*12))-SUM(S114:S126))*0.5)))</f>
        <v>1785099.6256598867</v>
      </c>
      <c r="U127" s="17" t="s">
        <v>121</v>
      </c>
      <c r="V127" s="17"/>
      <c r="W127" s="45">
        <f>Assumptions!$C$50</f>
        <v>0.05</v>
      </c>
      <c r="X127" s="72">
        <f>Assumptions!$D$50</f>
        <v>12</v>
      </c>
      <c r="Y127" s="32" t="s">
        <v>22</v>
      </c>
      <c r="Z127" s="28"/>
      <c r="AA127" s="71">
        <f>Assumptions!$G$50</f>
        <v>6</v>
      </c>
      <c r="AB127" s="32" t="s">
        <v>110</v>
      </c>
      <c r="AC127" s="33">
        <f>(((SUM(AC107:AC112)*POWER((1+W127/12),((X127+AA127)/12)*12))-SUM(AC107:AC112))      +           ((((SUM(AC114:AC126)*POWER((1+W127/12),((X127+AA127)/12)*12))-SUM(AC114:AC126))*0.5)))</f>
        <v>1697390.374954788</v>
      </c>
      <c r="AE127" s="17" t="s">
        <v>121</v>
      </c>
      <c r="AF127" s="17"/>
      <c r="AG127" s="45">
        <f>Assumptions!$C$50</f>
        <v>0.05</v>
      </c>
      <c r="AH127" s="72">
        <f>Assumptions!$D$50</f>
        <v>12</v>
      </c>
      <c r="AI127" s="32" t="s">
        <v>22</v>
      </c>
      <c r="AJ127" s="28"/>
      <c r="AK127" s="71">
        <f>Assumptions!$G$50</f>
        <v>6</v>
      </c>
      <c r="AL127" s="32" t="s">
        <v>110</v>
      </c>
      <c r="AM127" s="33">
        <f>(((SUM(AM107:AM112)*POWER((1+AG127/12),((AH127+AK127)/12)*12))-SUM(AM107:AM112))      +           ((((SUM(AM114:AM126)*POWER((1+AG127/12),((AH127+AK127)/12)*12))-SUM(AM114:AM126))*0.5)))</f>
        <v>1670778.8236541497</v>
      </c>
    </row>
    <row r="128" spans="1:39" ht="11.1" customHeight="1">
      <c r="A128" s="17" t="s">
        <v>23</v>
      </c>
      <c r="B128" s="17"/>
      <c r="C128" s="45">
        <f>Assumptions!$C$51</f>
        <v>0</v>
      </c>
      <c r="D128" s="32" t="s">
        <v>24</v>
      </c>
      <c r="E128" s="28"/>
      <c r="F128" s="28"/>
      <c r="G128" s="28"/>
      <c r="H128" s="28"/>
      <c r="I128" s="33">
        <f>SUM(I107:I125)*C128</f>
        <v>0</v>
      </c>
      <c r="K128" s="17" t="s">
        <v>23</v>
      </c>
      <c r="L128" s="17"/>
      <c r="M128" s="45">
        <f>Assumptions!$C$51</f>
        <v>0</v>
      </c>
      <c r="N128" s="32" t="s">
        <v>24</v>
      </c>
      <c r="O128" s="28"/>
      <c r="P128" s="28"/>
      <c r="Q128" s="28"/>
      <c r="R128" s="28"/>
      <c r="S128" s="33">
        <f>SUM(S107:S125)*M128</f>
        <v>0</v>
      </c>
      <c r="U128" s="17" t="s">
        <v>23</v>
      </c>
      <c r="V128" s="17"/>
      <c r="W128" s="45">
        <f>Assumptions!$C$51</f>
        <v>0</v>
      </c>
      <c r="X128" s="32" t="s">
        <v>24</v>
      </c>
      <c r="Y128" s="28"/>
      <c r="Z128" s="28"/>
      <c r="AA128" s="28"/>
      <c r="AB128" s="28"/>
      <c r="AC128" s="33">
        <f>SUM(AC107:AC125)*W128</f>
        <v>0</v>
      </c>
      <c r="AE128" s="17" t="s">
        <v>23</v>
      </c>
      <c r="AF128" s="17"/>
      <c r="AG128" s="45">
        <f>Assumptions!$C$51</f>
        <v>0</v>
      </c>
      <c r="AH128" s="32" t="s">
        <v>24</v>
      </c>
      <c r="AI128" s="28"/>
      <c r="AJ128" s="28"/>
      <c r="AK128" s="28"/>
      <c r="AL128" s="28"/>
      <c r="AM128" s="33">
        <f>SUM(AM107:AM125)*AG128</f>
        <v>0</v>
      </c>
    </row>
    <row r="129" spans="1:39" ht="11.1" customHeight="1">
      <c r="A129" s="17" t="s">
        <v>25</v>
      </c>
      <c r="B129" s="17"/>
      <c r="C129" s="155" t="s">
        <v>155</v>
      </c>
      <c r="D129" s="45">
        <f>Assumptions!$D$52</f>
        <v>0.2</v>
      </c>
      <c r="E129" s="32" t="s">
        <v>26</v>
      </c>
      <c r="F129" s="155" t="s">
        <v>156</v>
      </c>
      <c r="G129" s="45">
        <f>Assumptions!$G$52</f>
        <v>0.06</v>
      </c>
      <c r="H129" s="32" t="s">
        <v>26</v>
      </c>
      <c r="I129" s="33">
        <f>SUM(I83:I87)*D129+SUM(I90:I102)*G129</f>
        <v>11104975.26</v>
      </c>
      <c r="K129" s="17" t="s">
        <v>25</v>
      </c>
      <c r="L129" s="17"/>
      <c r="M129" s="155" t="s">
        <v>155</v>
      </c>
      <c r="N129" s="45">
        <f>Assumptions!$D$52</f>
        <v>0.2</v>
      </c>
      <c r="O129" s="32" t="s">
        <v>26</v>
      </c>
      <c r="P129" s="155" t="s">
        <v>156</v>
      </c>
      <c r="Q129" s="45">
        <f>Assumptions!$G$52</f>
        <v>0.06</v>
      </c>
      <c r="R129" s="32" t="s">
        <v>26</v>
      </c>
      <c r="S129" s="33">
        <f>SUM(S83:S87)*N129+SUM(S90:S102)*Q129</f>
        <v>10024625.28</v>
      </c>
      <c r="U129" s="17" t="s">
        <v>25</v>
      </c>
      <c r="V129" s="17"/>
      <c r="W129" s="155" t="s">
        <v>155</v>
      </c>
      <c r="X129" s="45">
        <f>Assumptions!$D$52</f>
        <v>0.2</v>
      </c>
      <c r="Y129" s="32" t="s">
        <v>26</v>
      </c>
      <c r="Z129" s="155" t="s">
        <v>156</v>
      </c>
      <c r="AA129" s="45">
        <f>Assumptions!$G$52</f>
        <v>0.06</v>
      </c>
      <c r="AB129" s="32" t="s">
        <v>26</v>
      </c>
      <c r="AC129" s="33">
        <f>SUM(AC83:AC87)*X129+SUM(AC90:AC102)*AA129</f>
        <v>8958575.76</v>
      </c>
      <c r="AE129" s="17" t="s">
        <v>25</v>
      </c>
      <c r="AF129" s="17"/>
      <c r="AG129" s="155" t="s">
        <v>155</v>
      </c>
      <c r="AH129" s="45">
        <f>Assumptions!$D$52</f>
        <v>0.2</v>
      </c>
      <c r="AI129" s="32" t="s">
        <v>26</v>
      </c>
      <c r="AJ129" s="155" t="s">
        <v>156</v>
      </c>
      <c r="AK129" s="45">
        <f>Assumptions!$G$52</f>
        <v>0.06</v>
      </c>
      <c r="AL129" s="32" t="s">
        <v>26</v>
      </c>
      <c r="AM129" s="33">
        <f>SUM(AM83:AM87)*AH129+SUM(AM90:AM102)*AK129</f>
        <v>8332907.28</v>
      </c>
    </row>
    <row r="130" spans="1:39" ht="11.1" customHeight="1">
      <c r="A130" s="26"/>
      <c r="B130" s="26"/>
      <c r="C130" s="26"/>
      <c r="D130" s="26"/>
      <c r="E130" s="26"/>
      <c r="F130" s="26"/>
      <c r="G130" s="26"/>
      <c r="H130" s="26"/>
      <c r="I130" s="40"/>
      <c r="K130" s="26"/>
      <c r="L130" s="26"/>
      <c r="M130" s="26"/>
      <c r="N130" s="26"/>
      <c r="O130" s="26"/>
      <c r="P130" s="26"/>
      <c r="Q130" s="26"/>
      <c r="R130" s="26"/>
      <c r="S130" s="40"/>
      <c r="U130" s="26"/>
      <c r="V130" s="26"/>
      <c r="W130" s="26"/>
      <c r="X130" s="26"/>
      <c r="Y130" s="26"/>
      <c r="Z130" s="26"/>
      <c r="AA130" s="26"/>
      <c r="AB130" s="26"/>
      <c r="AC130" s="40"/>
      <c r="AE130" s="26"/>
      <c r="AF130" s="26"/>
      <c r="AG130" s="26"/>
      <c r="AH130" s="26"/>
      <c r="AI130" s="26"/>
      <c r="AJ130" s="26"/>
      <c r="AK130" s="26"/>
      <c r="AL130" s="26"/>
      <c r="AM130" s="40"/>
    </row>
    <row r="131" spans="1:39" ht="11.1" customHeight="1">
      <c r="A131" s="25" t="s">
        <v>27</v>
      </c>
      <c r="B131" s="26"/>
      <c r="C131" s="26"/>
      <c r="D131" s="26"/>
      <c r="E131" s="26"/>
      <c r="F131" s="26"/>
      <c r="G131" s="26"/>
      <c r="H131" s="26"/>
      <c r="I131" s="42">
        <f>SUM(I107:I130)</f>
        <v>54120276.83101356</v>
      </c>
      <c r="K131" s="25" t="s">
        <v>27</v>
      </c>
      <c r="L131" s="26"/>
      <c r="M131" s="26"/>
      <c r="N131" s="26"/>
      <c r="O131" s="26"/>
      <c r="P131" s="26"/>
      <c r="Q131" s="26"/>
      <c r="R131" s="26"/>
      <c r="S131" s="42">
        <f>SUM(S107:S130)</f>
        <v>51477683.097659886</v>
      </c>
      <c r="U131" s="25" t="s">
        <v>27</v>
      </c>
      <c r="V131" s="26"/>
      <c r="W131" s="26"/>
      <c r="X131" s="26"/>
      <c r="Y131" s="26"/>
      <c r="Z131" s="26"/>
      <c r="AA131" s="26"/>
      <c r="AB131" s="26"/>
      <c r="AC131" s="42">
        <f>SUM(AC107:AC130)</f>
        <v>48850627.836704776</v>
      </c>
      <c r="AE131" s="25" t="s">
        <v>27</v>
      </c>
      <c r="AF131" s="26"/>
      <c r="AG131" s="26"/>
      <c r="AH131" s="26"/>
      <c r="AI131" s="26"/>
      <c r="AJ131" s="26"/>
      <c r="AK131" s="26"/>
      <c r="AL131" s="26"/>
      <c r="AM131" s="42">
        <f>SUM(AM107:AM130)</f>
        <v>47537377.181404151</v>
      </c>
    </row>
    <row r="132" spans="1:39" ht="11.1" customHeight="1">
      <c r="A132" s="28"/>
      <c r="B132" s="28"/>
      <c r="C132" s="28"/>
      <c r="D132" s="28"/>
      <c r="E132" s="28"/>
      <c r="F132" s="28"/>
      <c r="G132" s="28"/>
      <c r="H132" s="28"/>
      <c r="I132" s="51"/>
      <c r="K132" s="28"/>
      <c r="L132" s="28"/>
      <c r="M132" s="28"/>
      <c r="N132" s="28"/>
      <c r="O132" s="28"/>
      <c r="P132" s="28"/>
      <c r="Q132" s="28"/>
      <c r="R132" s="28"/>
      <c r="S132" s="51"/>
      <c r="U132" s="28"/>
      <c r="V132" s="28"/>
      <c r="W132" s="28"/>
      <c r="X132" s="28"/>
      <c r="Y132" s="28"/>
      <c r="Z132" s="28"/>
      <c r="AA132" s="28"/>
      <c r="AB132" s="28"/>
      <c r="AC132" s="51"/>
      <c r="AE132" s="28"/>
      <c r="AF132" s="28"/>
      <c r="AG132" s="28"/>
      <c r="AH132" s="28"/>
      <c r="AI132" s="28"/>
      <c r="AJ132" s="28"/>
      <c r="AK132" s="28"/>
      <c r="AL132" s="28"/>
      <c r="AM132" s="51"/>
    </row>
    <row r="133" spans="1:39" ht="11.1" customHeight="1">
      <c r="A133" s="52" t="s">
        <v>28</v>
      </c>
      <c r="B133" s="53"/>
      <c r="C133" s="53"/>
      <c r="D133" s="53"/>
      <c r="E133" s="53"/>
      <c r="F133" s="53"/>
      <c r="G133" s="53"/>
      <c r="H133" s="53"/>
      <c r="I133" s="54">
        <f>I104-I131</f>
        <v>2993894.1689864397</v>
      </c>
      <c r="K133" s="52" t="s">
        <v>28</v>
      </c>
      <c r="L133" s="53"/>
      <c r="M133" s="53"/>
      <c r="N133" s="53"/>
      <c r="O133" s="53"/>
      <c r="P133" s="53"/>
      <c r="Q133" s="53"/>
      <c r="R133" s="53"/>
      <c r="S133" s="54">
        <f>S104-S131</f>
        <v>1849404.9023401141</v>
      </c>
      <c r="U133" s="52" t="s">
        <v>28</v>
      </c>
      <c r="V133" s="53"/>
      <c r="W133" s="53"/>
      <c r="X133" s="53"/>
      <c r="Y133" s="53"/>
      <c r="Z133" s="53"/>
      <c r="AA133" s="53"/>
      <c r="AB133" s="53"/>
      <c r="AC133" s="54">
        <f>AC104-AC131</f>
        <v>927718.16329522431</v>
      </c>
      <c r="AE133" s="52" t="s">
        <v>28</v>
      </c>
      <c r="AF133" s="53"/>
      <c r="AG133" s="53"/>
      <c r="AH133" s="53"/>
      <c r="AI133" s="53"/>
      <c r="AJ133" s="53"/>
      <c r="AK133" s="53"/>
      <c r="AL133" s="53"/>
      <c r="AM133" s="54">
        <f>AM104-AM131</f>
        <v>1656910.818595849</v>
      </c>
    </row>
    <row r="134" spans="1:39" ht="11.1" customHeight="1">
      <c r="A134" s="52" t="s">
        <v>107</v>
      </c>
      <c r="B134" s="53"/>
      <c r="C134" s="53"/>
      <c r="D134" s="53"/>
      <c r="E134" s="53"/>
      <c r="F134" s="53"/>
      <c r="G134" s="53"/>
      <c r="H134" s="53"/>
      <c r="I134" s="54">
        <f>I133/D80</f>
        <v>106.44957045285119</v>
      </c>
      <c r="K134" s="52" t="s">
        <v>107</v>
      </c>
      <c r="L134" s="53"/>
      <c r="M134" s="53"/>
      <c r="N134" s="53"/>
      <c r="O134" s="53"/>
      <c r="P134" s="53"/>
      <c r="Q134" s="53"/>
      <c r="R134" s="53"/>
      <c r="S134" s="54">
        <f>S133/N80</f>
        <v>73.976196093604571</v>
      </c>
      <c r="U134" s="52" t="s">
        <v>107</v>
      </c>
      <c r="V134" s="53"/>
      <c r="W134" s="53"/>
      <c r="X134" s="53"/>
      <c r="Y134" s="53"/>
      <c r="Z134" s="53"/>
      <c r="AA134" s="53"/>
      <c r="AB134" s="53"/>
      <c r="AC134" s="54">
        <f>AC133/X80</f>
        <v>42.409973179210255</v>
      </c>
      <c r="AE134" s="52" t="s">
        <v>107</v>
      </c>
      <c r="AF134" s="53"/>
      <c r="AG134" s="53"/>
      <c r="AH134" s="53"/>
      <c r="AI134" s="53"/>
      <c r="AJ134" s="53"/>
      <c r="AK134" s="53"/>
      <c r="AL134" s="53"/>
      <c r="AM134" s="54">
        <f>AM133/AH80</f>
        <v>88.36857699177861</v>
      </c>
    </row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  <row r="268" ht="11.1" customHeight="1"/>
    <row r="269" ht="11.1" customHeight="1"/>
    <row r="270" ht="11.1" customHeight="1"/>
    <row r="271" ht="11.1" customHeight="1"/>
    <row r="272" ht="11.1" customHeight="1"/>
    <row r="273" ht="11.1" customHeight="1"/>
    <row r="274" ht="11.1" customHeight="1"/>
    <row r="275" ht="11.1" customHeight="1"/>
    <row r="276" ht="11.1" customHeight="1"/>
    <row r="277" ht="11.1" customHeight="1"/>
    <row r="278" ht="11.1" customHeight="1"/>
    <row r="279" ht="11.1" customHeight="1"/>
    <row r="280" ht="11.1" customHeight="1"/>
    <row r="281" ht="11.1" customHeight="1"/>
    <row r="282" ht="11.1" customHeight="1"/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  <row r="292" ht="11.1" customHeight="1"/>
    <row r="293" ht="11.1" customHeight="1"/>
    <row r="294" ht="11.1" customHeight="1"/>
    <row r="295" ht="11.1" customHeight="1"/>
    <row r="296" ht="11.1" customHeight="1"/>
    <row r="297" ht="11.1" customHeight="1"/>
    <row r="298" ht="11.1" customHeight="1"/>
    <row r="299" ht="11.1" customHeight="1"/>
    <row r="300" ht="11.1" customHeight="1"/>
    <row r="301" ht="11.1" customHeight="1"/>
    <row r="302" ht="11.1" customHeight="1"/>
    <row r="303" ht="11.1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1.1" customHeight="1"/>
    <row r="361" ht="11.1" customHeight="1"/>
    <row r="362" ht="11.1" customHeight="1"/>
    <row r="363" ht="11.1" customHeight="1"/>
    <row r="364" ht="11.1" customHeight="1"/>
    <row r="365" ht="11.1" customHeight="1"/>
    <row r="366" ht="11.1" customHeight="1"/>
    <row r="367" ht="11.1" customHeight="1"/>
    <row r="368" ht="11.1" customHeight="1"/>
    <row r="369" ht="11.1" customHeight="1"/>
    <row r="370" ht="11.1" customHeight="1"/>
    <row r="371" ht="11.1" customHeight="1"/>
    <row r="372" ht="11.1" customHeight="1"/>
    <row r="373" ht="11.1" customHeight="1"/>
    <row r="374" ht="11.1" customHeight="1"/>
    <row r="375" ht="11.1" customHeight="1"/>
    <row r="376" ht="11.1" customHeight="1"/>
    <row r="377" ht="11.1" customHeight="1"/>
    <row r="378" ht="11.1" customHeight="1"/>
    <row r="379" ht="11.1" customHeight="1"/>
    <row r="380" ht="11.1" customHeight="1"/>
    <row r="381" ht="11.1" customHeight="1"/>
    <row r="382" ht="11.1" customHeight="1"/>
    <row r="383" ht="11.1" customHeight="1"/>
    <row r="384" ht="11.1" customHeight="1"/>
    <row r="385" ht="11.1" customHeight="1"/>
    <row r="386" ht="11.1" customHeight="1"/>
    <row r="387" ht="11.1" customHeight="1"/>
    <row r="388" ht="11.1" customHeight="1"/>
    <row r="389" ht="11.1" customHeight="1"/>
    <row r="390" ht="11.1" customHeight="1"/>
    <row r="391" ht="11.1" customHeight="1"/>
    <row r="392" ht="11.1" customHeight="1"/>
    <row r="393" ht="11.1" customHeight="1"/>
    <row r="394" ht="11.1" customHeight="1"/>
    <row r="395" ht="11.1" customHeight="1"/>
    <row r="396" ht="11.1" customHeight="1"/>
    <row r="397" ht="11.1" customHeight="1"/>
    <row r="398" ht="11.1" customHeight="1"/>
    <row r="399" ht="11.1" customHeight="1"/>
    <row r="400" ht="11.1" customHeight="1"/>
    <row r="401" ht="11.1" customHeight="1"/>
    <row r="402" ht="11.1" customHeight="1"/>
    <row r="403" ht="11.1" customHeight="1"/>
    <row r="404" ht="11.1" customHeight="1"/>
    <row r="405" ht="11.1" customHeight="1"/>
    <row r="406" ht="11.1" customHeight="1"/>
    <row r="407" ht="11.1" customHeight="1"/>
    <row r="408" ht="11.1" customHeight="1"/>
    <row r="409" ht="11.1" customHeight="1"/>
    <row r="410" ht="11.1" customHeight="1"/>
    <row r="411" ht="11.1" customHeight="1"/>
    <row r="412" ht="11.1" customHeight="1"/>
    <row r="413" ht="11.1" customHeight="1"/>
    <row r="414" ht="11.1" customHeight="1"/>
    <row r="415" ht="11.1" customHeight="1"/>
    <row r="416" ht="11.1" customHeight="1"/>
    <row r="417" ht="11.1" customHeight="1"/>
    <row r="418" ht="11.1" customHeight="1"/>
    <row r="419" ht="11.1" customHeight="1"/>
    <row r="420" ht="11.1" customHeight="1"/>
    <row r="421" ht="11.1" customHeight="1"/>
    <row r="422" ht="11.1" customHeight="1"/>
    <row r="423" ht="11.1" customHeight="1"/>
    <row r="424" ht="11.1" customHeight="1"/>
    <row r="425" ht="11.1" customHeight="1"/>
    <row r="426" ht="11.1" customHeight="1"/>
    <row r="427" ht="11.1" customHeight="1"/>
    <row r="428" ht="11.1" customHeight="1"/>
    <row r="429" ht="11.1" customHeight="1"/>
    <row r="430" ht="11.1" customHeight="1"/>
    <row r="431" ht="11.1" customHeight="1"/>
    <row r="432" ht="11.1" customHeight="1"/>
    <row r="433" ht="11.1" customHeight="1"/>
    <row r="434" ht="11.1" customHeight="1"/>
    <row r="435" ht="11.1" customHeight="1"/>
    <row r="436" ht="11.1" customHeight="1"/>
    <row r="437" ht="11.1" customHeight="1"/>
    <row r="438" ht="11.1" customHeight="1"/>
    <row r="439" ht="11.1" customHeight="1"/>
    <row r="440" ht="11.1" customHeight="1"/>
    <row r="441" ht="11.1" customHeight="1"/>
    <row r="442" ht="11.1" customHeight="1"/>
    <row r="443" ht="11.1" customHeight="1"/>
    <row r="444" ht="11.1" customHeight="1"/>
    <row r="445" ht="11.1" customHeight="1"/>
    <row r="446" ht="11.1" customHeight="1"/>
    <row r="447" ht="11.1" customHeight="1"/>
    <row r="448" ht="11.1" customHeight="1"/>
    <row r="449" ht="11.1" customHeight="1"/>
    <row r="450" ht="11.1" customHeight="1"/>
    <row r="451" ht="11.1" customHeight="1"/>
    <row r="452" ht="11.1" customHeight="1"/>
    <row r="453" ht="11.1" customHeight="1"/>
    <row r="454" ht="11.1" customHeight="1"/>
    <row r="455" ht="11.1" customHeight="1"/>
    <row r="456" ht="11.1" customHeight="1"/>
    <row r="457" ht="11.1" customHeight="1"/>
    <row r="458" ht="11.1" customHeight="1"/>
    <row r="459" ht="11.1" customHeight="1"/>
    <row r="460" ht="11.1" customHeight="1"/>
    <row r="461" ht="11.1" customHeight="1"/>
    <row r="462" ht="11.1" customHeight="1"/>
    <row r="463" ht="11.1" customHeight="1"/>
    <row r="464" ht="11.1" customHeight="1"/>
    <row r="465" ht="11.1" customHeight="1"/>
    <row r="466" ht="11.1" customHeight="1"/>
    <row r="467" ht="11.1" customHeight="1"/>
    <row r="468" ht="11.1" customHeight="1"/>
    <row r="469" ht="11.1" customHeight="1"/>
    <row r="470" ht="11.1" customHeight="1"/>
    <row r="471" ht="11.1" customHeight="1"/>
    <row r="472" ht="11.1" customHeight="1"/>
    <row r="473" ht="11.1" customHeight="1"/>
    <row r="474" ht="11.1" customHeight="1"/>
    <row r="475" ht="11.1" customHeight="1"/>
    <row r="476" ht="11.1" customHeight="1"/>
    <row r="477" ht="11.1" customHeight="1"/>
    <row r="478" ht="11.1" customHeight="1"/>
    <row r="479" ht="11.1" customHeight="1"/>
    <row r="480" ht="11.1" customHeight="1"/>
    <row r="481" ht="11.1" customHeight="1"/>
    <row r="482" ht="11.1" customHeight="1"/>
    <row r="483" ht="11.1" customHeight="1"/>
    <row r="484" ht="11.1" customHeight="1"/>
    <row r="485" ht="11.1" customHeight="1"/>
    <row r="486" ht="11.1" customHeight="1"/>
    <row r="487" ht="11.1" customHeight="1"/>
    <row r="488" ht="11.1" customHeight="1"/>
    <row r="489" ht="11.1" customHeight="1"/>
    <row r="490" ht="11.1" customHeight="1"/>
    <row r="491" ht="11.1" customHeight="1"/>
    <row r="492" ht="11.1" customHeight="1"/>
    <row r="493" ht="11.1" customHeight="1"/>
    <row r="494" ht="11.1" customHeight="1"/>
    <row r="495" ht="11.1" customHeight="1"/>
    <row r="496" ht="11.1" customHeight="1"/>
    <row r="497" ht="11.1" customHeight="1"/>
    <row r="498" ht="11.1" customHeight="1"/>
    <row r="499" ht="11.1" customHeight="1"/>
    <row r="500" ht="11.1" customHeight="1"/>
    <row r="501" ht="11.1" customHeight="1"/>
    <row r="502" ht="11.1" customHeight="1"/>
    <row r="503" ht="11.1" customHeight="1"/>
    <row r="504" ht="11.1" customHeight="1"/>
    <row r="505" ht="11.1" customHeight="1"/>
    <row r="506" ht="11.1" customHeight="1"/>
    <row r="507" ht="11.1" customHeight="1"/>
    <row r="508" ht="11.1" customHeight="1"/>
    <row r="509" ht="11.1" customHeight="1"/>
    <row r="510" ht="11.1" customHeight="1"/>
    <row r="511" ht="11.1" customHeight="1"/>
    <row r="512" ht="11.1" customHeight="1"/>
    <row r="513" ht="11.1" customHeight="1"/>
    <row r="514" ht="11.1" customHeight="1"/>
    <row r="515" ht="11.1" customHeight="1"/>
    <row r="516" ht="11.1" customHeight="1"/>
    <row r="517" ht="11.1" customHeight="1"/>
    <row r="518" ht="11.1" customHeight="1"/>
    <row r="519" ht="11.1" customHeight="1"/>
    <row r="520" ht="11.1" customHeight="1"/>
    <row r="521" ht="11.1" customHeight="1"/>
    <row r="522" ht="11.1" customHeight="1"/>
    <row r="523" ht="11.1" customHeight="1"/>
    <row r="524" ht="11.1" customHeight="1"/>
    <row r="525" ht="11.1" customHeight="1"/>
    <row r="526" ht="11.1" customHeight="1"/>
    <row r="527" ht="11.1" customHeight="1"/>
    <row r="528" ht="11.1" customHeight="1"/>
    <row r="529" ht="11.1" customHeight="1"/>
    <row r="530" ht="11.1" customHeight="1"/>
    <row r="531" ht="11.1" customHeight="1"/>
    <row r="532" ht="11.1" customHeight="1"/>
    <row r="533" ht="11.1" customHeight="1"/>
    <row r="534" ht="11.1" customHeight="1"/>
    <row r="535" ht="11.1" customHeight="1"/>
    <row r="536" ht="11.1" customHeight="1"/>
    <row r="537" ht="11.1" customHeight="1"/>
    <row r="538" ht="11.1" customHeight="1"/>
    <row r="539" ht="11.1" customHeight="1"/>
    <row r="540" ht="11.1" customHeight="1"/>
    <row r="541" ht="11.1" customHeight="1"/>
  </sheetData>
  <mergeCells count="8">
    <mergeCell ref="D2:I4"/>
    <mergeCell ref="N2:S4"/>
    <mergeCell ref="X2:AC4"/>
    <mergeCell ref="AH2:AM4"/>
    <mergeCell ref="D70:I72"/>
    <mergeCell ref="N70:S72"/>
    <mergeCell ref="X70:AC72"/>
    <mergeCell ref="AH70:AM72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7169" r:id="rId4">
          <objectPr defaultSize="0" r:id="rId5">
            <anchor moveWithCells="1" sizeWithCells="1">
              <from>
                <xdr:col>0</xdr:col>
                <xdr:colOff>47551</xdr:colOff>
                <xdr:row>0</xdr:row>
                <xdr:rowOff>123825</xdr:rowOff>
              </from>
              <to>
                <xdr:col>2</xdr:col>
                <xdr:colOff>162074</xdr:colOff>
                <xdr:row>4</xdr:row>
                <xdr:rowOff>104775</xdr:rowOff>
              </to>
            </anchor>
          </objectPr>
        </oleObject>
      </mc:Choice>
      <mc:Fallback>
        <oleObject progId="WordPad.Document.1" shapeId="7169" r:id="rId4"/>
      </mc:Fallback>
    </mc:AlternateContent>
    <mc:AlternateContent xmlns:mc="http://schemas.openxmlformats.org/markup-compatibility/2006">
      <mc:Choice Requires="x14">
        <oleObject progId="WordPad.Document.1" shapeId="7170" r:id="rId6">
          <objectPr defaultSize="0" r:id="rId5">
            <anchor moveWithCells="1" sizeWithCells="1">
              <from>
                <xdr:col>10</xdr:col>
                <xdr:colOff>38174</xdr:colOff>
                <xdr:row>0</xdr:row>
                <xdr:rowOff>123825</xdr:rowOff>
              </from>
              <to>
                <xdr:col>12</xdr:col>
                <xdr:colOff>152698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7170" r:id="rId6"/>
      </mc:Fallback>
    </mc:AlternateContent>
    <mc:AlternateContent xmlns:mc="http://schemas.openxmlformats.org/markup-compatibility/2006">
      <mc:Choice Requires="x14">
        <oleObject progId="WordPad.Document.1" shapeId="7174" r:id="rId7">
          <objectPr defaultSize="0" r:id="rId5">
            <anchor moveWithCells="1" sizeWithCells="1">
              <from>
                <xdr:col>20</xdr:col>
                <xdr:colOff>38174</xdr:colOff>
                <xdr:row>0</xdr:row>
                <xdr:rowOff>123825</xdr:rowOff>
              </from>
              <to>
                <xdr:col>22</xdr:col>
                <xdr:colOff>152698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7174" r:id="rId7"/>
      </mc:Fallback>
    </mc:AlternateContent>
    <mc:AlternateContent xmlns:mc="http://schemas.openxmlformats.org/markup-compatibility/2006">
      <mc:Choice Requires="x14">
        <oleObject progId="WordPad.Document.1" shapeId="7175" r:id="rId8">
          <objectPr defaultSize="0" r:id="rId5">
            <anchor moveWithCells="1" sizeWithCells="1">
              <from>
                <xdr:col>30</xdr:col>
                <xdr:colOff>38174</xdr:colOff>
                <xdr:row>0</xdr:row>
                <xdr:rowOff>123825</xdr:rowOff>
              </from>
              <to>
                <xdr:col>32</xdr:col>
                <xdr:colOff>152698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7175" r:id="rId8"/>
      </mc:Fallback>
    </mc:AlternateContent>
    <mc:AlternateContent xmlns:mc="http://schemas.openxmlformats.org/markup-compatibility/2006">
      <mc:Choice Requires="x14">
        <oleObject progId="WordPad.Document.1" shapeId="7179" r:id="rId9">
          <objectPr defaultSize="0" r:id="rId5">
            <anchor moveWithCells="1" sizeWithCells="1">
              <from>
                <xdr:col>0</xdr:col>
                <xdr:colOff>47551</xdr:colOff>
                <xdr:row>68</xdr:row>
                <xdr:rowOff>123825</xdr:rowOff>
              </from>
              <to>
                <xdr:col>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7179" r:id="rId9"/>
      </mc:Fallback>
    </mc:AlternateContent>
    <mc:AlternateContent xmlns:mc="http://schemas.openxmlformats.org/markup-compatibility/2006">
      <mc:Choice Requires="x14">
        <oleObject progId="WordPad.Document.1" shapeId="7180" r:id="rId10">
          <objectPr defaultSize="0" r:id="rId5">
            <anchor moveWithCells="1" sizeWithCells="1">
              <from>
                <xdr:col>10</xdr:col>
                <xdr:colOff>47551</xdr:colOff>
                <xdr:row>68</xdr:row>
                <xdr:rowOff>123825</xdr:rowOff>
              </from>
              <to>
                <xdr:col>12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7180" r:id="rId10"/>
      </mc:Fallback>
    </mc:AlternateContent>
    <mc:AlternateContent xmlns:mc="http://schemas.openxmlformats.org/markup-compatibility/2006">
      <mc:Choice Requires="x14">
        <oleObject progId="WordPad.Document.1" shapeId="7181" r:id="rId11">
          <objectPr defaultSize="0" r:id="rId5">
            <anchor moveWithCells="1" sizeWithCells="1">
              <from>
                <xdr:col>20</xdr:col>
                <xdr:colOff>47551</xdr:colOff>
                <xdr:row>68</xdr:row>
                <xdr:rowOff>123825</xdr:rowOff>
              </from>
              <to>
                <xdr:col>22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7181" r:id="rId11"/>
      </mc:Fallback>
    </mc:AlternateContent>
    <mc:AlternateContent xmlns:mc="http://schemas.openxmlformats.org/markup-compatibility/2006">
      <mc:Choice Requires="x14">
        <oleObject progId="WordPad.Document.1" shapeId="7182" r:id="rId12">
          <objectPr defaultSize="0" r:id="rId5">
            <anchor moveWithCells="1" sizeWithCells="1">
              <from>
                <xdr:col>30</xdr:col>
                <xdr:colOff>47551</xdr:colOff>
                <xdr:row>68</xdr:row>
                <xdr:rowOff>123825</xdr:rowOff>
              </from>
              <to>
                <xdr:col>32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7182" r:id="rId12"/>
      </mc:Fallback>
    </mc:AlternateContent>
  </oleObjects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M400"/>
  <sheetViews>
    <sheetView topLeftCell="A133" zoomScale="40" view="normal" workbookViewId="0">
      <selection pane="topLeft" activeCell="K168" sqref="K168"/>
    </sheetView>
  </sheetViews>
  <sheetFormatPr defaultRowHeight="15"/>
  <cols>
    <col min="7" max="7" width="6.75390625" customWidth="1"/>
    <col min="9" max="9" width="12.75390625" customWidth="1"/>
    <col min="10" max="10" width="1.75390625" customWidth="1"/>
    <col min="17" max="17" width="6.75390625" customWidth="1"/>
    <col min="19" max="19" width="12.75390625" customWidth="1"/>
    <col min="20" max="20" width="1.75390625" customWidth="1"/>
    <col min="27" max="27" width="6.75390625" customWidth="1"/>
    <col min="29" max="29" width="12.75390625" customWidth="1"/>
    <col min="30" max="30" width="1.75390625" customWidth="1"/>
    <col min="37" max="37" width="6.75390625" customWidth="1"/>
    <col min="39" max="39" width="12.75390625" customWidth="1"/>
    <col min="40" max="40" width="1.75390625" customWidth="1"/>
    <col min="47" max="47" width="6.75390625" customWidth="1"/>
    <col min="49" max="49" width="12.75390625" customWidth="1"/>
  </cols>
  <sheetData>
    <row r="1" spans="1:39" ht="11.1" customHeight="1">
      <c r="A1" s="5"/>
      <c r="B1" s="14"/>
      <c r="C1" s="14"/>
      <c r="D1" s="15"/>
      <c r="E1" s="14"/>
      <c r="F1" s="14"/>
      <c r="G1" s="14"/>
      <c r="H1" s="14"/>
      <c r="I1" s="14"/>
      <c r="K1" s="5"/>
      <c r="L1" s="14"/>
      <c r="M1" s="14"/>
      <c r="N1" s="15"/>
      <c r="O1" s="14"/>
      <c r="P1" s="14"/>
      <c r="Q1" s="14"/>
      <c r="R1" s="14"/>
      <c r="S1" s="14"/>
      <c r="U1" s="5"/>
      <c r="V1" s="14"/>
      <c r="W1" s="14"/>
      <c r="X1" s="15"/>
      <c r="Y1" s="14"/>
      <c r="Z1" s="14"/>
      <c r="AA1" s="14"/>
      <c r="AB1" s="14"/>
      <c r="AC1" s="14"/>
      <c r="AE1" s="5"/>
      <c r="AF1" s="14"/>
      <c r="AG1" s="14"/>
      <c r="AH1" s="15"/>
      <c r="AI1" s="14"/>
      <c r="AJ1" s="14"/>
      <c r="AK1" s="14"/>
      <c r="AL1" s="14"/>
      <c r="AM1" s="14"/>
    </row>
    <row r="2" spans="1:39" ht="11.1" customHeight="1">
      <c r="A2" s="5"/>
      <c r="B2" s="5"/>
      <c r="C2" s="5"/>
      <c r="D2" s="310" t="s">
        <v>79</v>
      </c>
      <c r="E2" s="310"/>
      <c r="F2" s="310"/>
      <c r="G2" s="310"/>
      <c r="H2" s="310"/>
      <c r="I2" s="310"/>
      <c r="K2" s="5"/>
      <c r="L2" s="5"/>
      <c r="M2" s="5"/>
      <c r="N2" s="310" t="s">
        <v>79</v>
      </c>
      <c r="O2" s="310"/>
      <c r="P2" s="310"/>
      <c r="Q2" s="310"/>
      <c r="R2" s="310"/>
      <c r="S2" s="310"/>
      <c r="U2" s="5"/>
      <c r="V2" s="5"/>
      <c r="W2" s="5"/>
      <c r="X2" s="310" t="s">
        <v>79</v>
      </c>
      <c r="Y2" s="310"/>
      <c r="Z2" s="310"/>
      <c r="AA2" s="310"/>
      <c r="AB2" s="310"/>
      <c r="AC2" s="310"/>
      <c r="AE2" s="5"/>
      <c r="AF2" s="5"/>
      <c r="AG2" s="5"/>
      <c r="AH2" s="310" t="s">
        <v>79</v>
      </c>
      <c r="AI2" s="310"/>
      <c r="AJ2" s="310"/>
      <c r="AK2" s="310"/>
      <c r="AL2" s="310"/>
      <c r="AM2" s="310"/>
    </row>
    <row r="3" spans="1:39" ht="11.1" customHeight="1">
      <c r="A3" s="5"/>
      <c r="B3" s="5"/>
      <c r="C3" s="5"/>
      <c r="D3" s="310"/>
      <c r="E3" s="310"/>
      <c r="F3" s="310"/>
      <c r="G3" s="310"/>
      <c r="H3" s="310"/>
      <c r="I3" s="310"/>
      <c r="K3" s="5"/>
      <c r="L3" s="5"/>
      <c r="M3" s="5"/>
      <c r="N3" s="310"/>
      <c r="O3" s="310"/>
      <c r="P3" s="310"/>
      <c r="Q3" s="310"/>
      <c r="R3" s="310"/>
      <c r="S3" s="310"/>
      <c r="U3" s="5"/>
      <c r="V3" s="5"/>
      <c r="W3" s="5"/>
      <c r="X3" s="310"/>
      <c r="Y3" s="310"/>
      <c r="Z3" s="310"/>
      <c r="AA3" s="310"/>
      <c r="AB3" s="310"/>
      <c r="AC3" s="310"/>
      <c r="AE3" s="5"/>
      <c r="AF3" s="5"/>
      <c r="AG3" s="5"/>
      <c r="AH3" s="310"/>
      <c r="AI3" s="310"/>
      <c r="AJ3" s="310"/>
      <c r="AK3" s="310"/>
      <c r="AL3" s="310"/>
      <c r="AM3" s="310"/>
    </row>
    <row r="4" spans="1:39" ht="11.1" customHeight="1">
      <c r="A4" s="5"/>
      <c r="B4" s="5"/>
      <c r="C4" s="5"/>
      <c r="D4" s="310"/>
      <c r="E4" s="310"/>
      <c r="F4" s="310"/>
      <c r="G4" s="310"/>
      <c r="H4" s="310"/>
      <c r="I4" s="310"/>
      <c r="K4" s="5"/>
      <c r="L4" s="5"/>
      <c r="M4" s="5"/>
      <c r="N4" s="310"/>
      <c r="O4" s="310"/>
      <c r="P4" s="310"/>
      <c r="Q4" s="310"/>
      <c r="R4" s="310"/>
      <c r="S4" s="310"/>
      <c r="U4" s="5"/>
      <c r="V4" s="5"/>
      <c r="W4" s="5"/>
      <c r="X4" s="310"/>
      <c r="Y4" s="310"/>
      <c r="Z4" s="310"/>
      <c r="AA4" s="310"/>
      <c r="AB4" s="310"/>
      <c r="AC4" s="310"/>
      <c r="AE4" s="5"/>
      <c r="AF4" s="5"/>
      <c r="AG4" s="5"/>
      <c r="AH4" s="310"/>
      <c r="AI4" s="310"/>
      <c r="AJ4" s="310"/>
      <c r="AK4" s="310"/>
      <c r="AL4" s="310"/>
      <c r="AM4" s="310"/>
    </row>
    <row r="5" spans="1:39" ht="11.1" customHeight="1">
      <c r="A5" s="5"/>
      <c r="B5" s="5"/>
      <c r="C5" s="5"/>
      <c r="D5" s="5"/>
      <c r="E5" s="5"/>
      <c r="F5" s="5"/>
      <c r="G5" s="5"/>
      <c r="H5" s="5"/>
      <c r="I5" s="5"/>
      <c r="K5" s="5"/>
      <c r="L5" s="5"/>
      <c r="M5" s="5"/>
      <c r="N5" s="5"/>
      <c r="O5" s="5"/>
      <c r="P5" s="5"/>
      <c r="Q5" s="5"/>
      <c r="R5" s="5"/>
      <c r="S5" s="5"/>
      <c r="U5" s="5"/>
      <c r="V5" s="5"/>
      <c r="W5" s="5"/>
      <c r="X5" s="5"/>
      <c r="Y5" s="5"/>
      <c r="Z5" s="5"/>
      <c r="AA5" s="5"/>
      <c r="AB5" s="5"/>
      <c r="AC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1.1" customHeight="1">
      <c r="A6" s="16" t="s">
        <v>0</v>
      </c>
      <c r="B6" s="16"/>
      <c r="C6" s="17"/>
      <c r="D6" s="80" t="str">
        <f>Assumptions!$B$78</f>
        <v>Large Scale Mixed Development</v>
      </c>
      <c r="E6" s="75"/>
      <c r="F6" s="75"/>
      <c r="G6" s="76"/>
      <c r="H6" s="30" t="s">
        <v>36</v>
      </c>
      <c r="I6" s="62">
        <f>Assumptions!$C$79</f>
        <v>0</v>
      </c>
      <c r="K6" s="16" t="s">
        <v>0</v>
      </c>
      <c r="L6" s="16"/>
      <c r="M6" s="17"/>
      <c r="N6" s="80" t="str">
        <f>Assumptions!$B$78</f>
        <v>Large Scale Mixed Development</v>
      </c>
      <c r="O6" s="75"/>
      <c r="P6" s="75"/>
      <c r="Q6" s="76"/>
      <c r="R6" s="30" t="s">
        <v>36</v>
      </c>
      <c r="S6" s="62">
        <f>Assumptions!$C$79</f>
        <v>0</v>
      </c>
      <c r="U6" s="16" t="s">
        <v>0</v>
      </c>
      <c r="V6" s="16"/>
      <c r="W6" s="17"/>
      <c r="X6" s="80" t="str">
        <f>Assumptions!$B$78</f>
        <v>Large Scale Mixed Development</v>
      </c>
      <c r="Y6" s="75"/>
      <c r="Z6" s="75"/>
      <c r="AA6" s="76"/>
      <c r="AB6" s="30" t="s">
        <v>36</v>
      </c>
      <c r="AC6" s="62">
        <f>Assumptions!$C$79</f>
        <v>0</v>
      </c>
      <c r="AE6" s="16" t="s">
        <v>0</v>
      </c>
      <c r="AF6" s="16"/>
      <c r="AG6" s="17"/>
      <c r="AH6" s="80" t="str">
        <f>Assumptions!$B$78</f>
        <v>Large Scale Mixed Development</v>
      </c>
      <c r="AI6" s="75"/>
      <c r="AJ6" s="75"/>
      <c r="AK6" s="76"/>
      <c r="AL6" s="30" t="s">
        <v>36</v>
      </c>
      <c r="AM6" s="62">
        <f>Assumptions!$C$79</f>
        <v>0</v>
      </c>
    </row>
    <row r="7" spans="1:39" ht="11.1" customHeight="1">
      <c r="A7" s="16" t="s">
        <v>1</v>
      </c>
      <c r="B7" s="17"/>
      <c r="C7" s="17"/>
      <c r="D7" s="80" t="str">
        <f>'Land Values'!A10</f>
        <v>Greenfield </v>
      </c>
      <c r="E7" s="75"/>
      <c r="F7" s="75"/>
      <c r="G7" s="77"/>
      <c r="H7" s="30" t="s">
        <v>37</v>
      </c>
      <c r="I7" s="62">
        <f>Assumptions!$C$80</f>
        <v>100</v>
      </c>
      <c r="K7" s="16" t="s">
        <v>1</v>
      </c>
      <c r="L7" s="17"/>
      <c r="M7" s="17"/>
      <c r="N7" s="80" t="str">
        <f>'Land Values'!$A$10</f>
        <v>Greenfield </v>
      </c>
      <c r="O7" s="75"/>
      <c r="P7" s="75"/>
      <c r="Q7" s="77"/>
      <c r="R7" s="30" t="s">
        <v>37</v>
      </c>
      <c r="S7" s="62">
        <f>Assumptions!$C$80</f>
        <v>100</v>
      </c>
      <c r="U7" s="16" t="s">
        <v>1</v>
      </c>
      <c r="V7" s="17"/>
      <c r="W7" s="17"/>
      <c r="X7" s="80" t="str">
        <f>'Land Values'!$A$10</f>
        <v>Greenfield </v>
      </c>
      <c r="Y7" s="75"/>
      <c r="Z7" s="75"/>
      <c r="AA7" s="77"/>
      <c r="AB7" s="30" t="s">
        <v>37</v>
      </c>
      <c r="AC7" s="62">
        <f>Assumptions!$C$80</f>
        <v>100</v>
      </c>
      <c r="AE7" s="16" t="s">
        <v>1</v>
      </c>
      <c r="AF7" s="17"/>
      <c r="AG7" s="17"/>
      <c r="AH7" s="80" t="str">
        <f>'Land Values'!$A$10</f>
        <v>Greenfield </v>
      </c>
      <c r="AI7" s="75"/>
      <c r="AJ7" s="75"/>
      <c r="AK7" s="77"/>
      <c r="AL7" s="30" t="s">
        <v>37</v>
      </c>
      <c r="AM7" s="62">
        <f>Assumptions!$C$80</f>
        <v>100</v>
      </c>
    </row>
    <row r="8" spans="1:39" ht="11.1" customHeight="1">
      <c r="A8" s="16" t="s">
        <v>2</v>
      </c>
      <c r="B8" s="16"/>
      <c r="C8" s="17"/>
      <c r="D8" s="81" t="str">
        <f>Assumptions!A13</f>
        <v>Malpas &amp; Bettws</v>
      </c>
      <c r="E8" s="78"/>
      <c r="F8" s="78"/>
      <c r="G8" s="79"/>
      <c r="H8" s="30" t="s">
        <v>38</v>
      </c>
      <c r="I8" s="62">
        <f>Assumptions!$C$81</f>
        <v>200</v>
      </c>
      <c r="K8" s="16" t="s">
        <v>2</v>
      </c>
      <c r="L8" s="16"/>
      <c r="M8" s="17"/>
      <c r="N8" s="275" t="str">
        <f>Assumptions!A14</f>
        <v>Newport East </v>
      </c>
      <c r="O8" s="276"/>
      <c r="P8" s="276"/>
      <c r="Q8" s="277"/>
      <c r="R8" s="30" t="s">
        <v>38</v>
      </c>
      <c r="S8" s="62">
        <f>Assumptions!$C$81</f>
        <v>200</v>
      </c>
      <c r="U8" s="16" t="s">
        <v>2</v>
      </c>
      <c r="V8" s="16"/>
      <c r="W8" s="17"/>
      <c r="X8" s="272" t="str">
        <f>Assumptions!A15</f>
        <v>Rog/Newport West </v>
      </c>
      <c r="Y8" s="273"/>
      <c r="Z8" s="273"/>
      <c r="AA8" s="274"/>
      <c r="AB8" s="30" t="s">
        <v>38</v>
      </c>
      <c r="AC8" s="62">
        <f>Assumptions!$C$81</f>
        <v>200</v>
      </c>
      <c r="AE8" s="16" t="s">
        <v>2</v>
      </c>
      <c r="AF8" s="16"/>
      <c r="AG8" s="17"/>
      <c r="AH8" s="269" t="str">
        <f>Assumptions!A16</f>
        <v>Caerleon/Rural</v>
      </c>
      <c r="AI8" s="270"/>
      <c r="AJ8" s="270"/>
      <c r="AK8" s="271"/>
      <c r="AL8" s="30" t="s">
        <v>38</v>
      </c>
      <c r="AM8" s="62">
        <f>Assumptions!$C$81</f>
        <v>200</v>
      </c>
    </row>
    <row r="9" spans="1:39" ht="11.1" customHeight="1">
      <c r="A9" s="16" t="s">
        <v>3</v>
      </c>
      <c r="B9" s="16"/>
      <c r="C9" s="17"/>
      <c r="D9" s="63">
        <f>SUM(I6:I10)</f>
        <v>500</v>
      </c>
      <c r="E9" s="55" t="s">
        <v>95</v>
      </c>
      <c r="F9" s="17"/>
      <c r="G9" s="19"/>
      <c r="H9" s="30" t="s">
        <v>39</v>
      </c>
      <c r="I9" s="62">
        <f>Assumptions!$C$82</f>
        <v>150</v>
      </c>
      <c r="K9" s="16" t="s">
        <v>3</v>
      </c>
      <c r="L9" s="16"/>
      <c r="M9" s="17"/>
      <c r="N9" s="63">
        <f>SUM(S6:S10)</f>
        <v>500</v>
      </c>
      <c r="O9" s="55" t="s">
        <v>95</v>
      </c>
      <c r="P9" s="17"/>
      <c r="Q9" s="19"/>
      <c r="R9" s="30" t="s">
        <v>39</v>
      </c>
      <c r="S9" s="62">
        <f>Assumptions!$C$82</f>
        <v>150</v>
      </c>
      <c r="U9" s="16" t="s">
        <v>3</v>
      </c>
      <c r="V9" s="16"/>
      <c r="W9" s="17"/>
      <c r="X9" s="63">
        <f>SUM(AC6:AC10)</f>
        <v>500</v>
      </c>
      <c r="Y9" s="55" t="s">
        <v>95</v>
      </c>
      <c r="Z9" s="17"/>
      <c r="AA9" s="19"/>
      <c r="AB9" s="30" t="s">
        <v>39</v>
      </c>
      <c r="AC9" s="62">
        <f>Assumptions!$C$82</f>
        <v>150</v>
      </c>
      <c r="AE9" s="16" t="s">
        <v>3</v>
      </c>
      <c r="AF9" s="16"/>
      <c r="AG9" s="17"/>
      <c r="AH9" s="63">
        <f>SUM(AM6:AM10)</f>
        <v>500</v>
      </c>
      <c r="AI9" s="55" t="s">
        <v>95</v>
      </c>
      <c r="AJ9" s="17"/>
      <c r="AK9" s="19"/>
      <c r="AL9" s="30" t="s">
        <v>39</v>
      </c>
      <c r="AM9" s="62">
        <f>Assumptions!$C$82</f>
        <v>150</v>
      </c>
    </row>
    <row r="10" spans="1:39" ht="11.1" customHeight="1">
      <c r="A10" s="16" t="s">
        <v>81</v>
      </c>
      <c r="B10" s="17"/>
      <c r="C10" s="22">
        <f>Assumptions!$C$13</f>
        <v>0.1</v>
      </c>
      <c r="D10" s="63">
        <f>D9*C10</f>
        <v>50</v>
      </c>
      <c r="E10" s="55" t="s">
        <v>83</v>
      </c>
      <c r="F10" s="19"/>
      <c r="G10" s="21"/>
      <c r="H10" s="30" t="s">
        <v>40</v>
      </c>
      <c r="I10" s="62">
        <f>Assumptions!$C$83</f>
        <v>50</v>
      </c>
      <c r="K10" s="16" t="s">
        <v>81</v>
      </c>
      <c r="L10" s="17"/>
      <c r="M10" s="22">
        <f>Assumptions!$C$14</f>
        <v>0.2</v>
      </c>
      <c r="N10" s="63">
        <f>N9*M10</f>
        <v>100</v>
      </c>
      <c r="O10" s="55" t="s">
        <v>83</v>
      </c>
      <c r="P10" s="19"/>
      <c r="Q10" s="21"/>
      <c r="R10" s="30" t="s">
        <v>40</v>
      </c>
      <c r="S10" s="62">
        <f>Assumptions!$C$83</f>
        <v>50</v>
      </c>
      <c r="U10" s="16" t="s">
        <v>81</v>
      </c>
      <c r="V10" s="17"/>
      <c r="W10" s="22">
        <f>Assumptions!$C$15</f>
        <v>0.3</v>
      </c>
      <c r="X10" s="63">
        <f>X9*W10</f>
        <v>150</v>
      </c>
      <c r="Y10" s="55" t="s">
        <v>83</v>
      </c>
      <c r="Z10" s="19"/>
      <c r="AA10" s="21"/>
      <c r="AB10" s="30" t="s">
        <v>40</v>
      </c>
      <c r="AC10" s="62">
        <f>Assumptions!$C$83</f>
        <v>50</v>
      </c>
      <c r="AE10" s="16" t="s">
        <v>81</v>
      </c>
      <c r="AF10" s="17"/>
      <c r="AG10" s="22">
        <f>Assumptions!$C$16</f>
        <v>0.4</v>
      </c>
      <c r="AH10" s="63">
        <f>AH9*AG10</f>
        <v>200</v>
      </c>
      <c r="AI10" s="55" t="s">
        <v>83</v>
      </c>
      <c r="AJ10" s="19"/>
      <c r="AK10" s="21"/>
      <c r="AL10" s="30" t="s">
        <v>40</v>
      </c>
      <c r="AM10" s="62">
        <f>Assumptions!$C$83</f>
        <v>50</v>
      </c>
    </row>
    <row r="11" spans="1:39" ht="11.1" customHeight="1">
      <c r="A11" s="16" t="s">
        <v>84</v>
      </c>
      <c r="B11" s="17"/>
      <c r="C11" s="64">
        <f>Assumptions!$D$13</f>
        <v>1</v>
      </c>
      <c r="D11" s="30" t="s">
        <v>33</v>
      </c>
      <c r="E11" s="22">
        <f>Assumptions!$E$13</f>
        <v>0</v>
      </c>
      <c r="F11" s="30" t="s">
        <v>34</v>
      </c>
      <c r="G11" s="65">
        <f>Assumptions!$F$13</f>
        <v>0</v>
      </c>
      <c r="H11" s="55" t="s">
        <v>35</v>
      </c>
      <c r="I11" s="11"/>
      <c r="K11" s="16" t="s">
        <v>84</v>
      </c>
      <c r="L11" s="17"/>
      <c r="M11" s="64">
        <f>Assumptions!$D$14</f>
        <v>1</v>
      </c>
      <c r="N11" s="30" t="s">
        <v>33</v>
      </c>
      <c r="O11" s="22">
        <f>Assumptions!$E$14</f>
        <v>0</v>
      </c>
      <c r="P11" s="30" t="s">
        <v>34</v>
      </c>
      <c r="Q11" s="65">
        <f>Assumptions!$F$14</f>
        <v>0</v>
      </c>
      <c r="R11" s="55" t="s">
        <v>35</v>
      </c>
      <c r="S11" s="11"/>
      <c r="U11" s="16" t="s">
        <v>84</v>
      </c>
      <c r="V11" s="17"/>
      <c r="W11" s="64">
        <f>Assumptions!$D$15</f>
        <v>1</v>
      </c>
      <c r="X11" s="30" t="s">
        <v>33</v>
      </c>
      <c r="Y11" s="22">
        <f>Assumptions!$E$15</f>
        <v>0</v>
      </c>
      <c r="Z11" s="30" t="s">
        <v>34</v>
      </c>
      <c r="AA11" s="65">
        <f>Assumptions!$F$15</f>
        <v>0</v>
      </c>
      <c r="AB11" s="55" t="s">
        <v>35</v>
      </c>
      <c r="AC11" s="11"/>
      <c r="AE11" s="16" t="s">
        <v>84</v>
      </c>
      <c r="AF11" s="17"/>
      <c r="AG11" s="64">
        <f>Assumptions!$D$16</f>
        <v>1</v>
      </c>
      <c r="AH11" s="30" t="s">
        <v>33</v>
      </c>
      <c r="AI11" s="22">
        <f>Assumptions!$E$16</f>
        <v>0</v>
      </c>
      <c r="AJ11" s="30" t="s">
        <v>34</v>
      </c>
      <c r="AK11" s="65">
        <f>Assumptions!$F$16</f>
        <v>0</v>
      </c>
      <c r="AL11" s="55" t="s">
        <v>35</v>
      </c>
      <c r="AM11" s="11"/>
    </row>
    <row r="12" spans="1:39" ht="11.1" customHeight="1">
      <c r="A12" s="16" t="s">
        <v>85</v>
      </c>
      <c r="B12" s="17"/>
      <c r="C12" s="17"/>
      <c r="D12" s="23">
        <f>(A15*C15)+(A16*C16)+(A17*C17)+(A18*C18)+(A19*C19)</f>
        <v>45540</v>
      </c>
      <c r="E12" s="55" t="s">
        <v>86</v>
      </c>
      <c r="F12" s="19"/>
      <c r="G12" s="24">
        <f>SUM(A22*C22)+(A23*C23)+(A24*C24)+(A27*C27)+(A28*C28)+(A29*C29)+(A32*C32)+(A33*C33)+(A34*C34)</f>
        <v>4315</v>
      </c>
      <c r="H12" s="30" t="s">
        <v>87</v>
      </c>
      <c r="I12" s="19"/>
      <c r="K12" s="16" t="s">
        <v>85</v>
      </c>
      <c r="L12" s="17"/>
      <c r="M12" s="17"/>
      <c r="N12" s="23">
        <f>(K15*M15)+(K16*M16)+(K17*M17)+(K18*M18)+(K19*M19)</f>
        <v>40480</v>
      </c>
      <c r="O12" s="55" t="s">
        <v>86</v>
      </c>
      <c r="P12" s="19"/>
      <c r="Q12" s="24">
        <f>SUM(K22*M22)+(K23*M23)+(K24*M24)+(K27*M27)+(K28*M28)+(K29*M29)+(K32*M32)+(K33*M33)+(K34*M34)</f>
        <v>8630</v>
      </c>
      <c r="R12" s="30" t="s">
        <v>87</v>
      </c>
      <c r="S12" s="19"/>
      <c r="U12" s="16" t="s">
        <v>85</v>
      </c>
      <c r="V12" s="17"/>
      <c r="W12" s="17"/>
      <c r="X12" s="23">
        <f>(U15*W15)+(U16*W16)+(U17*W17)+(U18*W18)+(U19*W19)</f>
        <v>35420</v>
      </c>
      <c r="Y12" s="55" t="s">
        <v>86</v>
      </c>
      <c r="Z12" s="19"/>
      <c r="AA12" s="24">
        <f>SUM(U22*W22)+(U23*W23)+(U24*W24)+(U27*W27)+(U28*W28)+(U29*W29)+(U32*W32)+(U33*W33)+(U34*W34)</f>
        <v>12945</v>
      </c>
      <c r="AB12" s="30" t="s">
        <v>87</v>
      </c>
      <c r="AC12" s="19"/>
      <c r="AE12" s="16" t="s">
        <v>85</v>
      </c>
      <c r="AF12" s="17"/>
      <c r="AG12" s="17"/>
      <c r="AH12" s="23">
        <f>(AE15*AG15)+(AE16*AG16)+(AE17*AG17)+(AE18*AG18)+(AE19*AG19)</f>
        <v>30360</v>
      </c>
      <c r="AI12" s="55" t="s">
        <v>86</v>
      </c>
      <c r="AJ12" s="19"/>
      <c r="AK12" s="24">
        <f>SUM(AE22*AG22)+(AE23*AG23)+(AE24*AG24)+(AE27*AG27)+(AE28*AG28)+(AE29*AG29)+(AE32*AG32)+(AE33*AG33)+(AE34*AG34)</f>
        <v>17260</v>
      </c>
      <c r="AL12" s="30" t="s">
        <v>87</v>
      </c>
      <c r="AM12" s="19"/>
    </row>
    <row r="13" spans="1:39" ht="11.1" customHeight="1">
      <c r="A13" s="25" t="s">
        <v>4</v>
      </c>
      <c r="B13" s="26"/>
      <c r="C13" s="26"/>
      <c r="D13" s="26"/>
      <c r="E13" s="26"/>
      <c r="F13" s="26"/>
      <c r="G13" s="26"/>
      <c r="H13" s="26"/>
      <c r="I13" s="27"/>
      <c r="K13" s="25" t="s">
        <v>4</v>
      </c>
      <c r="L13" s="26"/>
      <c r="M13" s="26"/>
      <c r="N13" s="26"/>
      <c r="O13" s="26"/>
      <c r="P13" s="26"/>
      <c r="Q13" s="26"/>
      <c r="R13" s="26"/>
      <c r="S13" s="27"/>
      <c r="U13" s="25" t="s">
        <v>4</v>
      </c>
      <c r="V13" s="26"/>
      <c r="W13" s="26"/>
      <c r="X13" s="26"/>
      <c r="Y13" s="26"/>
      <c r="Z13" s="26"/>
      <c r="AA13" s="26"/>
      <c r="AB13" s="26"/>
      <c r="AC13" s="27"/>
      <c r="AE13" s="25" t="s">
        <v>4</v>
      </c>
      <c r="AF13" s="26"/>
      <c r="AG13" s="26"/>
      <c r="AH13" s="26"/>
      <c r="AI13" s="26"/>
      <c r="AJ13" s="26"/>
      <c r="AK13" s="26"/>
      <c r="AL13" s="26"/>
      <c r="AM13" s="27"/>
    </row>
    <row r="14" spans="1:39" ht="11.1" customHeight="1">
      <c r="A14" s="17" t="s">
        <v>88</v>
      </c>
      <c r="B14" s="17"/>
      <c r="C14" s="28"/>
      <c r="D14" s="28"/>
      <c r="E14" s="28"/>
      <c r="F14" s="28"/>
      <c r="G14" s="28"/>
      <c r="H14" s="28"/>
      <c r="I14" s="19"/>
      <c r="K14" s="17" t="s">
        <v>88</v>
      </c>
      <c r="L14" s="17"/>
      <c r="M14" s="28"/>
      <c r="N14" s="28"/>
      <c r="O14" s="28"/>
      <c r="P14" s="28"/>
      <c r="Q14" s="28"/>
      <c r="R14" s="28"/>
      <c r="S14" s="19"/>
      <c r="U14" s="17" t="s">
        <v>88</v>
      </c>
      <c r="V14" s="17"/>
      <c r="W14" s="28"/>
      <c r="X14" s="28"/>
      <c r="Y14" s="28"/>
      <c r="Z14" s="28"/>
      <c r="AA14" s="28"/>
      <c r="AB14" s="28"/>
      <c r="AC14" s="19"/>
      <c r="AE14" s="17" t="s">
        <v>88</v>
      </c>
      <c r="AF14" s="17"/>
      <c r="AG14" s="28"/>
      <c r="AH14" s="28"/>
      <c r="AI14" s="28"/>
      <c r="AJ14" s="28"/>
      <c r="AK14" s="28"/>
      <c r="AL14" s="28"/>
      <c r="AM14" s="19"/>
    </row>
    <row r="15" spans="1:39" ht="11.1" customHeight="1">
      <c r="A15" s="29">
        <f>I6*(100%-C10)</f>
        <v>0</v>
      </c>
      <c r="B15" s="30" t="s">
        <v>36</v>
      </c>
      <c r="C15" s="31">
        <f>Assumptions!$B$22</f>
        <v>61</v>
      </c>
      <c r="D15" s="32" t="s">
        <v>5</v>
      </c>
      <c r="E15" s="18">
        <f>Assumptions!$C$32</f>
        <v>1950</v>
      </c>
      <c r="F15" s="32" t="s">
        <v>6</v>
      </c>
      <c r="G15" s="28"/>
      <c r="H15" s="28"/>
      <c r="I15" s="33">
        <f>A15*C15*E15</f>
        <v>0</v>
      </c>
      <c r="K15" s="29">
        <f>S6*(100%-M10)</f>
        <v>0</v>
      </c>
      <c r="L15" s="30" t="s">
        <v>36</v>
      </c>
      <c r="M15" s="31">
        <f>Assumptions!$B$22</f>
        <v>61</v>
      </c>
      <c r="N15" s="32" t="s">
        <v>5</v>
      </c>
      <c r="O15" s="18">
        <f>Assumptions!$C$33</f>
        <v>1950</v>
      </c>
      <c r="P15" s="32" t="s">
        <v>6</v>
      </c>
      <c r="Q15" s="28"/>
      <c r="R15" s="28"/>
      <c r="S15" s="33">
        <f>K15*M15*O15</f>
        <v>0</v>
      </c>
      <c r="U15" s="29">
        <f>AC6*(100%-W10)</f>
        <v>0</v>
      </c>
      <c r="V15" s="30" t="s">
        <v>36</v>
      </c>
      <c r="W15" s="31">
        <f>Assumptions!$B$22</f>
        <v>61</v>
      </c>
      <c r="X15" s="32" t="s">
        <v>5</v>
      </c>
      <c r="Y15" s="18">
        <f>Assumptions!$C$34</f>
        <v>1950</v>
      </c>
      <c r="Z15" s="32" t="s">
        <v>6</v>
      </c>
      <c r="AA15" s="28"/>
      <c r="AB15" s="28"/>
      <c r="AC15" s="33">
        <f>U15*W15*Y15</f>
        <v>0</v>
      </c>
      <c r="AE15" s="29">
        <f>AM6*(100%-AG10)</f>
        <v>0</v>
      </c>
      <c r="AF15" s="30" t="s">
        <v>36</v>
      </c>
      <c r="AG15" s="31">
        <f>Assumptions!$B$22</f>
        <v>61</v>
      </c>
      <c r="AH15" s="32" t="s">
        <v>5</v>
      </c>
      <c r="AI15" s="18">
        <f>Assumptions!$C$35</f>
        <v>2050</v>
      </c>
      <c r="AJ15" s="32" t="s">
        <v>6</v>
      </c>
      <c r="AK15" s="28"/>
      <c r="AL15" s="28"/>
      <c r="AM15" s="33">
        <f>AE15*AG15*AI15</f>
        <v>0</v>
      </c>
    </row>
    <row r="16" spans="1:39" ht="11.1" customHeight="1">
      <c r="A16" s="29">
        <f>I7*(100%-C10)</f>
        <v>90</v>
      </c>
      <c r="B16" s="30" t="s">
        <v>37</v>
      </c>
      <c r="C16" s="31">
        <f>Assumptions!$B$23</f>
        <v>75</v>
      </c>
      <c r="D16" s="32" t="s">
        <v>5</v>
      </c>
      <c r="E16" s="18">
        <f>Assumptions!$D$32</f>
        <v>1950</v>
      </c>
      <c r="F16" s="32" t="s">
        <v>6</v>
      </c>
      <c r="G16" s="28"/>
      <c r="H16" s="28"/>
      <c r="I16" s="33">
        <f>A16*C16*E16</f>
        <v>13162500</v>
      </c>
      <c r="K16" s="29">
        <f>S7*(100%-M10)</f>
        <v>80</v>
      </c>
      <c r="L16" s="30" t="s">
        <v>37</v>
      </c>
      <c r="M16" s="31">
        <f>Assumptions!$B$23</f>
        <v>75</v>
      </c>
      <c r="N16" s="32" t="s">
        <v>5</v>
      </c>
      <c r="O16" s="18">
        <f>Assumptions!$D$33</f>
        <v>1950</v>
      </c>
      <c r="P16" s="32" t="s">
        <v>6</v>
      </c>
      <c r="Q16" s="28"/>
      <c r="R16" s="28"/>
      <c r="S16" s="33">
        <f>K16*M16*O16</f>
        <v>11700000</v>
      </c>
      <c r="U16" s="29">
        <f>AC7*(100%-W10)</f>
        <v>70</v>
      </c>
      <c r="V16" s="30" t="s">
        <v>37</v>
      </c>
      <c r="W16" s="31">
        <f>Assumptions!$B$23</f>
        <v>75</v>
      </c>
      <c r="X16" s="32" t="s">
        <v>5</v>
      </c>
      <c r="Y16" s="18">
        <f>Assumptions!$D$34</f>
        <v>1950</v>
      </c>
      <c r="Z16" s="32" t="s">
        <v>6</v>
      </c>
      <c r="AA16" s="28"/>
      <c r="AB16" s="28"/>
      <c r="AC16" s="33">
        <f>U16*W16*Y16</f>
        <v>10237500</v>
      </c>
      <c r="AE16" s="29">
        <f>AM7*(100%-AG10)</f>
        <v>60</v>
      </c>
      <c r="AF16" s="30" t="s">
        <v>37</v>
      </c>
      <c r="AG16" s="31">
        <f>Assumptions!$B$23</f>
        <v>75</v>
      </c>
      <c r="AH16" s="32" t="s">
        <v>5</v>
      </c>
      <c r="AI16" s="18">
        <f>Assumptions!$D$35</f>
        <v>2050</v>
      </c>
      <c r="AJ16" s="32" t="s">
        <v>6</v>
      </c>
      <c r="AK16" s="28"/>
      <c r="AL16" s="28"/>
      <c r="AM16" s="33">
        <f>AE16*AG16*AI16</f>
        <v>9225000</v>
      </c>
    </row>
    <row r="17" spans="1:39" ht="11.1" customHeight="1">
      <c r="A17" s="29">
        <f>I8*(100%-C10)</f>
        <v>180</v>
      </c>
      <c r="B17" s="30" t="s">
        <v>38</v>
      </c>
      <c r="C17" s="31">
        <f>Assumptions!$B$24</f>
        <v>88</v>
      </c>
      <c r="D17" s="32" t="s">
        <v>5</v>
      </c>
      <c r="E17" s="18">
        <f>Assumptions!$E$32</f>
        <v>1950</v>
      </c>
      <c r="F17" s="32" t="s">
        <v>6</v>
      </c>
      <c r="G17" s="28"/>
      <c r="H17" s="28"/>
      <c r="I17" s="33">
        <f>A17*C17*E17</f>
        <v>30888000</v>
      </c>
      <c r="K17" s="29">
        <f>S8*(100%-M10)</f>
        <v>160</v>
      </c>
      <c r="L17" s="30" t="s">
        <v>38</v>
      </c>
      <c r="M17" s="31">
        <f>Assumptions!$B$24</f>
        <v>88</v>
      </c>
      <c r="N17" s="32" t="s">
        <v>5</v>
      </c>
      <c r="O17" s="18">
        <f>Assumptions!$E$33</f>
        <v>1950</v>
      </c>
      <c r="P17" s="32" t="s">
        <v>6</v>
      </c>
      <c r="Q17" s="28"/>
      <c r="R17" s="28"/>
      <c r="S17" s="33">
        <f>K17*M17*O17</f>
        <v>27456000</v>
      </c>
      <c r="U17" s="29">
        <f>AC8*(100%-W10)</f>
        <v>140</v>
      </c>
      <c r="V17" s="30" t="s">
        <v>38</v>
      </c>
      <c r="W17" s="31">
        <f>Assumptions!$B$24</f>
        <v>88</v>
      </c>
      <c r="X17" s="32" t="s">
        <v>5</v>
      </c>
      <c r="Y17" s="18">
        <f>Assumptions!$E$34</f>
        <v>1950</v>
      </c>
      <c r="Z17" s="32" t="s">
        <v>6</v>
      </c>
      <c r="AA17" s="28"/>
      <c r="AB17" s="28"/>
      <c r="AC17" s="33">
        <f>U17*W17*Y17</f>
        <v>24024000</v>
      </c>
      <c r="AE17" s="29">
        <f>AM8*(100%-AG10)</f>
        <v>120</v>
      </c>
      <c r="AF17" s="30" t="s">
        <v>38</v>
      </c>
      <c r="AG17" s="31">
        <f>Assumptions!$B$24</f>
        <v>88</v>
      </c>
      <c r="AH17" s="32" t="s">
        <v>5</v>
      </c>
      <c r="AI17" s="18">
        <f>Assumptions!$E$35</f>
        <v>2050</v>
      </c>
      <c r="AJ17" s="32" t="s">
        <v>6</v>
      </c>
      <c r="AK17" s="28"/>
      <c r="AL17" s="28"/>
      <c r="AM17" s="33">
        <f>AE17*AG17*AI17</f>
        <v>21648000</v>
      </c>
    </row>
    <row r="18" spans="1:39" ht="11.1" customHeight="1">
      <c r="A18" s="29">
        <f>I9*(100%-C10)</f>
        <v>135</v>
      </c>
      <c r="B18" s="30" t="s">
        <v>39</v>
      </c>
      <c r="C18" s="31">
        <f>Assumptions!$B$25</f>
        <v>120</v>
      </c>
      <c r="D18" s="32" t="s">
        <v>5</v>
      </c>
      <c r="E18" s="18">
        <f>Assumptions!$F$32</f>
        <v>1950</v>
      </c>
      <c r="F18" s="32" t="s">
        <v>6</v>
      </c>
      <c r="G18" s="28"/>
      <c r="H18" s="28"/>
      <c r="I18" s="33">
        <f>A18*C18*E18</f>
        <v>31590000</v>
      </c>
      <c r="K18" s="29">
        <f>S9*(100%-M10)</f>
        <v>120</v>
      </c>
      <c r="L18" s="30" t="s">
        <v>39</v>
      </c>
      <c r="M18" s="31">
        <f>Assumptions!$B$25</f>
        <v>120</v>
      </c>
      <c r="N18" s="32" t="s">
        <v>5</v>
      </c>
      <c r="O18" s="18">
        <f>Assumptions!$F$33</f>
        <v>1950</v>
      </c>
      <c r="P18" s="32" t="s">
        <v>6</v>
      </c>
      <c r="Q18" s="28"/>
      <c r="R18" s="28"/>
      <c r="S18" s="33">
        <f>K18*M18*O18</f>
        <v>28080000</v>
      </c>
      <c r="U18" s="29">
        <f>AC9*(100%-W10)</f>
        <v>105</v>
      </c>
      <c r="V18" s="30" t="s">
        <v>39</v>
      </c>
      <c r="W18" s="31">
        <f>Assumptions!$B$25</f>
        <v>120</v>
      </c>
      <c r="X18" s="32" t="s">
        <v>5</v>
      </c>
      <c r="Y18" s="18">
        <f>Assumptions!$F$34</f>
        <v>1950</v>
      </c>
      <c r="Z18" s="32" t="s">
        <v>6</v>
      </c>
      <c r="AA18" s="28"/>
      <c r="AB18" s="28"/>
      <c r="AC18" s="33">
        <f>U18*W18*Y18</f>
        <v>24570000</v>
      </c>
      <c r="AE18" s="29">
        <f>AM9*(100%-AG10)</f>
        <v>90</v>
      </c>
      <c r="AF18" s="30" t="s">
        <v>39</v>
      </c>
      <c r="AG18" s="31">
        <f>Assumptions!$B$25</f>
        <v>120</v>
      </c>
      <c r="AH18" s="32" t="s">
        <v>5</v>
      </c>
      <c r="AI18" s="18">
        <f>Assumptions!$F$35</f>
        <v>2050</v>
      </c>
      <c r="AJ18" s="32" t="s">
        <v>6</v>
      </c>
      <c r="AK18" s="28"/>
      <c r="AL18" s="28"/>
      <c r="AM18" s="33">
        <f>AE18*AG18*AI18</f>
        <v>22140000</v>
      </c>
    </row>
    <row r="19" spans="1:39" ht="11.1" customHeight="1">
      <c r="A19" s="29">
        <f>I10*(100%-C10)</f>
        <v>45</v>
      </c>
      <c r="B19" s="30" t="s">
        <v>40</v>
      </c>
      <c r="C19" s="31">
        <f>Assumptions!$B$26</f>
        <v>150</v>
      </c>
      <c r="D19" s="32" t="s">
        <v>5</v>
      </c>
      <c r="E19" s="18">
        <f>Assumptions!G32</f>
        <v>1950</v>
      </c>
      <c r="F19" s="32" t="s">
        <v>6</v>
      </c>
      <c r="G19" s="28"/>
      <c r="H19" s="28"/>
      <c r="I19" s="33">
        <f>A19*C19*E19</f>
        <v>13162500</v>
      </c>
      <c r="K19" s="29">
        <f>S10*(100%-M10)</f>
        <v>40</v>
      </c>
      <c r="L19" s="30" t="s">
        <v>40</v>
      </c>
      <c r="M19" s="31">
        <f>Assumptions!$B$26</f>
        <v>150</v>
      </c>
      <c r="N19" s="32" t="s">
        <v>5</v>
      </c>
      <c r="O19" s="18">
        <f>Assumptions!$G$33</f>
        <v>1950</v>
      </c>
      <c r="P19" s="32" t="s">
        <v>6</v>
      </c>
      <c r="Q19" s="28"/>
      <c r="R19" s="28"/>
      <c r="S19" s="33">
        <f>K19*M19*O19</f>
        <v>11700000</v>
      </c>
      <c r="U19" s="29">
        <f>AC10*(100%-W10)</f>
        <v>35</v>
      </c>
      <c r="V19" s="30" t="s">
        <v>40</v>
      </c>
      <c r="W19" s="31">
        <f>Assumptions!$B$26</f>
        <v>150</v>
      </c>
      <c r="X19" s="32" t="s">
        <v>5</v>
      </c>
      <c r="Y19" s="18">
        <f>Assumptions!$G$34</f>
        <v>1950</v>
      </c>
      <c r="Z19" s="32" t="s">
        <v>6</v>
      </c>
      <c r="AA19" s="28"/>
      <c r="AB19" s="28"/>
      <c r="AC19" s="33">
        <f>U19*W19*Y19</f>
        <v>10237500</v>
      </c>
      <c r="AE19" s="29">
        <f>AM10*(100%-AG10)</f>
        <v>30</v>
      </c>
      <c r="AF19" s="30" t="s">
        <v>40</v>
      </c>
      <c r="AG19" s="31">
        <f>Assumptions!$B$26</f>
        <v>150</v>
      </c>
      <c r="AH19" s="32" t="s">
        <v>5</v>
      </c>
      <c r="AI19" s="18">
        <f>Assumptions!$G$35</f>
        <v>2050</v>
      </c>
      <c r="AJ19" s="32" t="s">
        <v>6</v>
      </c>
      <c r="AK19" s="28"/>
      <c r="AL19" s="28"/>
      <c r="AM19" s="33">
        <f>AE19*AG19*AI19</f>
        <v>9225000</v>
      </c>
    </row>
    <row r="20" spans="1:39" ht="11.1" customHeight="1">
      <c r="A20" s="26"/>
      <c r="B20" s="26"/>
      <c r="C20" s="26"/>
      <c r="D20" s="34"/>
      <c r="E20" s="26"/>
      <c r="F20" s="34"/>
      <c r="G20" s="26"/>
      <c r="H20" s="26"/>
      <c r="I20" s="35"/>
      <c r="K20" s="26"/>
      <c r="L20" s="26"/>
      <c r="M20" s="26"/>
      <c r="N20" s="34"/>
      <c r="O20" s="26"/>
      <c r="P20" s="34"/>
      <c r="Q20" s="26"/>
      <c r="R20" s="26"/>
      <c r="S20" s="35"/>
      <c r="U20" s="26"/>
      <c r="V20" s="26"/>
      <c r="W20" s="26"/>
      <c r="X20" s="34"/>
      <c r="Y20" s="26"/>
      <c r="Z20" s="34"/>
      <c r="AA20" s="26"/>
      <c r="AB20" s="26"/>
      <c r="AC20" s="35"/>
      <c r="AE20" s="26"/>
      <c r="AF20" s="26"/>
      <c r="AG20" s="26"/>
      <c r="AH20" s="34"/>
      <c r="AI20" s="26"/>
      <c r="AJ20" s="34"/>
      <c r="AK20" s="26"/>
      <c r="AL20" s="26"/>
      <c r="AM20" s="35"/>
    </row>
    <row r="21" spans="1:39" ht="11.1" customHeight="1">
      <c r="A21" s="17" t="str">
        <f>Assumptions!$D$12</f>
        <v>Neutral Tenure</v>
      </c>
      <c r="B21" s="17"/>
      <c r="C21"/>
      <c r="D21"/>
      <c r="E21" s="28"/>
      <c r="F21" s="32"/>
      <c r="G21" s="28"/>
      <c r="H21" s="28"/>
      <c r="I21" s="36"/>
      <c r="J21"/>
      <c r="K21" s="17" t="str">
        <f>Assumptions!$D$12</f>
        <v>Neutral Tenure</v>
      </c>
      <c r="L21" s="17"/>
      <c r="M21"/>
      <c r="N21"/>
      <c r="O21" s="28"/>
      <c r="P21" s="32"/>
      <c r="Q21" s="28"/>
      <c r="R21" s="28"/>
      <c r="S21" s="36"/>
      <c r="T21"/>
      <c r="U21" s="17" t="str">
        <f>Assumptions!$D$12</f>
        <v>Neutral Tenure</v>
      </c>
      <c r="V21" s="17"/>
      <c r="W21"/>
      <c r="X21"/>
      <c r="Y21" s="28"/>
      <c r="Z21" s="32"/>
      <c r="AA21" s="28"/>
      <c r="AB21" s="28"/>
      <c r="AC21" s="36"/>
      <c r="AD21"/>
      <c r="AE21" s="17" t="str">
        <f>Assumptions!$D$12</f>
        <v>Neutral Tenure</v>
      </c>
      <c r="AF21" s="17"/>
      <c r="AG21"/>
      <c r="AH21"/>
      <c r="AI21" s="28"/>
      <c r="AJ21" s="32"/>
      <c r="AK21" s="28"/>
      <c r="AL21" s="28"/>
      <c r="AM21" s="36"/>
    </row>
    <row r="22" spans="1:39" ht="11.1" customHeight="1">
      <c r="A22" s="29">
        <f>D10*C11*Assumptions!$H$13</f>
        <v>0</v>
      </c>
      <c r="B22" s="30" t="s">
        <v>36</v>
      </c>
      <c r="C22" s="37">
        <f>Assumptions!$E$24</f>
        <v>65</v>
      </c>
      <c r="D22" s="32" t="s">
        <v>7</v>
      </c>
      <c r="E22" s="28">
        <f>Assumptions!$C$37</f>
        <v>921</v>
      </c>
      <c r="F22" s="32" t="s">
        <v>6</v>
      </c>
      <c r="G22" s="28"/>
      <c r="H22" s="28"/>
      <c r="I22" s="33">
        <f>A22*C22*E22</f>
        <v>0</v>
      </c>
      <c r="J22"/>
      <c r="K22" s="29">
        <f>N10*M11*Assumptions!$H$13</f>
        <v>0</v>
      </c>
      <c r="L22" s="30" t="s">
        <v>36</v>
      </c>
      <c r="M22" s="37">
        <f>Assumptions!$E$24</f>
        <v>65</v>
      </c>
      <c r="N22" s="32" t="s">
        <v>7</v>
      </c>
      <c r="O22" s="28">
        <f>Assumptions!$C$38</f>
        <v>925</v>
      </c>
      <c r="P22" s="32" t="s">
        <v>6</v>
      </c>
      <c r="Q22" s="28"/>
      <c r="R22" s="28"/>
      <c r="S22" s="33">
        <f>K22*M22*O22</f>
        <v>0</v>
      </c>
      <c r="T22"/>
      <c r="U22" s="29">
        <f>X10*W11*Assumptions!$H$13</f>
        <v>0</v>
      </c>
      <c r="V22" s="30" t="s">
        <v>36</v>
      </c>
      <c r="W22" s="37">
        <f>Assumptions!$E$24</f>
        <v>65</v>
      </c>
      <c r="X22" s="32" t="s">
        <v>7</v>
      </c>
      <c r="Y22" s="28">
        <f>Assumptions!$C$39</f>
        <v>948</v>
      </c>
      <c r="Z22" s="32" t="s">
        <v>6</v>
      </c>
      <c r="AA22" s="28"/>
      <c r="AB22" s="28"/>
      <c r="AC22" s="33">
        <f>U22*W22*Y22</f>
        <v>0</v>
      </c>
      <c r="AD22"/>
      <c r="AE22" s="29">
        <f>AH10*AG11*Assumptions!$H$13</f>
        <v>0</v>
      </c>
      <c r="AF22" s="30" t="s">
        <v>36</v>
      </c>
      <c r="AG22" s="37">
        <f>Assumptions!$E$24</f>
        <v>65</v>
      </c>
      <c r="AH22" s="32" t="s">
        <v>7</v>
      </c>
      <c r="AI22" s="28">
        <f>Assumptions!$C$40</f>
        <v>1027</v>
      </c>
      <c r="AJ22" s="32" t="s">
        <v>6</v>
      </c>
      <c r="AK22" s="28"/>
      <c r="AL22" s="28"/>
      <c r="AM22" s="33">
        <f>AE22*AG22*AI22</f>
        <v>0</v>
      </c>
    </row>
    <row r="23" spans="1:39" ht="11.1" customHeight="1">
      <c r="A23" s="29">
        <f>D10*C11*Assumptions!$H$14</f>
        <v>35</v>
      </c>
      <c r="B23" s="30" t="s">
        <v>90</v>
      </c>
      <c r="C23" s="37">
        <f>Assumptions!$E$25</f>
        <v>83</v>
      </c>
      <c r="D23" s="32" t="s">
        <v>7</v>
      </c>
      <c r="E23" s="28">
        <f>Assumptions!$D$37</f>
        <v>891</v>
      </c>
      <c r="F23" s="32" t="s">
        <v>6</v>
      </c>
      <c r="G23" s="28"/>
      <c r="H23" s="28"/>
      <c r="I23" s="33">
        <f>A23*C23*E23</f>
        <v>2588355</v>
      </c>
      <c r="J23"/>
      <c r="K23" s="29">
        <f>N10*M11*Assumptions!$H$14</f>
        <v>70</v>
      </c>
      <c r="L23" s="30" t="s">
        <v>90</v>
      </c>
      <c r="M23" s="37">
        <f>Assumptions!$E$25</f>
        <v>83</v>
      </c>
      <c r="N23" s="32" t="s">
        <v>7</v>
      </c>
      <c r="O23" s="28">
        <f>Assumptions!$D$38</f>
        <v>898</v>
      </c>
      <c r="P23" s="32" t="s">
        <v>6</v>
      </c>
      <c r="Q23" s="28"/>
      <c r="R23" s="28"/>
      <c r="S23" s="33">
        <f>K23*M23*O23</f>
        <v>5217380</v>
      </c>
      <c r="T23"/>
      <c r="U23" s="29">
        <f>X10*W11*Assumptions!$H$14</f>
        <v>105</v>
      </c>
      <c r="V23" s="30" t="s">
        <v>90</v>
      </c>
      <c r="W23" s="37">
        <f>Assumptions!$E$25</f>
        <v>83</v>
      </c>
      <c r="X23" s="32" t="s">
        <v>7</v>
      </c>
      <c r="Y23" s="28">
        <f>Assumptions!$D$39</f>
        <v>932</v>
      </c>
      <c r="Z23" s="32" t="s">
        <v>6</v>
      </c>
      <c r="AA23" s="28"/>
      <c r="AB23" s="28"/>
      <c r="AC23" s="33">
        <f>U23*W23*Y23</f>
        <v>8122380</v>
      </c>
      <c r="AD23"/>
      <c r="AE23" s="29">
        <f>AH10*AG11*Assumptions!$H$14</f>
        <v>140</v>
      </c>
      <c r="AF23" s="30" t="s">
        <v>90</v>
      </c>
      <c r="AG23" s="37">
        <f>Assumptions!$E$25</f>
        <v>83</v>
      </c>
      <c r="AH23" s="32" t="s">
        <v>7</v>
      </c>
      <c r="AI23" s="28">
        <f>Assumptions!$D$40</f>
        <v>1057</v>
      </c>
      <c r="AJ23" s="32" t="s">
        <v>6</v>
      </c>
      <c r="AK23" s="28"/>
      <c r="AL23" s="28"/>
      <c r="AM23" s="33">
        <f>AE23*AG23*AI23</f>
        <v>12282340</v>
      </c>
    </row>
    <row r="24" spans="1:39" ht="11.1" customHeight="1">
      <c r="A24" s="29">
        <f>D10*C11*Assumptions!$H$15</f>
        <v>15</v>
      </c>
      <c r="B24" s="30" t="s">
        <v>91</v>
      </c>
      <c r="C24" s="37">
        <f>Assumptions!$E$26</f>
        <v>94</v>
      </c>
      <c r="D24" s="32" t="s">
        <v>7</v>
      </c>
      <c r="E24" s="28">
        <f>Assumptions!$E$37</f>
        <v>848</v>
      </c>
      <c r="F24" s="32" t="s">
        <v>6</v>
      </c>
      <c r="G24" s="28"/>
      <c r="H24" s="28"/>
      <c r="I24" s="33">
        <f>A24*C24*E24</f>
        <v>1195680</v>
      </c>
      <c r="J24"/>
      <c r="K24" s="29">
        <f>N10*M11*Assumptions!$H$15</f>
        <v>30</v>
      </c>
      <c r="L24" s="30" t="s">
        <v>91</v>
      </c>
      <c r="M24" s="37">
        <f>Assumptions!$E$26</f>
        <v>94</v>
      </c>
      <c r="N24" s="32" t="s">
        <v>7</v>
      </c>
      <c r="O24" s="28">
        <f>Assumptions!$E$38</f>
        <v>855</v>
      </c>
      <c r="P24" s="32" t="s">
        <v>6</v>
      </c>
      <c r="Q24" s="28"/>
      <c r="R24" s="28"/>
      <c r="S24" s="33">
        <f>K24*M24*O24</f>
        <v>2411100</v>
      </c>
      <c r="T24"/>
      <c r="U24" s="29">
        <f>X10*W11*Assumptions!$H$15</f>
        <v>45</v>
      </c>
      <c r="V24" s="30" t="s">
        <v>91</v>
      </c>
      <c r="W24" s="37">
        <f>Assumptions!$E$26</f>
        <v>94</v>
      </c>
      <c r="X24" s="32" t="s">
        <v>7</v>
      </c>
      <c r="Y24" s="28">
        <f>Assumptions!$E$39</f>
        <v>886</v>
      </c>
      <c r="Z24" s="32" t="s">
        <v>6</v>
      </c>
      <c r="AA24" s="28"/>
      <c r="AB24" s="28"/>
      <c r="AC24" s="33">
        <f>U24*W24*Y24</f>
        <v>3747780</v>
      </c>
      <c r="AD24"/>
      <c r="AE24" s="29">
        <f>AH10*AG11*Assumptions!$H$15</f>
        <v>60</v>
      </c>
      <c r="AF24" s="30" t="s">
        <v>91</v>
      </c>
      <c r="AG24" s="37">
        <f>Assumptions!$E$26</f>
        <v>94</v>
      </c>
      <c r="AH24" s="32" t="s">
        <v>7</v>
      </c>
      <c r="AI24" s="28">
        <f>Assumptions!$E$40</f>
        <v>1001</v>
      </c>
      <c r="AJ24" s="32" t="s">
        <v>6</v>
      </c>
      <c r="AK24" s="28"/>
      <c r="AL24" s="28"/>
      <c r="AM24" s="33">
        <f>AE24*AG24*AI24</f>
        <v>5645640</v>
      </c>
    </row>
    <row r="25" spans="1:39" ht="11.1" customHeight="1">
      <c r="A25" s="38"/>
      <c r="B25" s="26"/>
      <c r="C25" s="39"/>
      <c r="D25" s="34"/>
      <c r="E25" s="26"/>
      <c r="F25" s="34"/>
      <c r="G25" s="26"/>
      <c r="H25" s="26"/>
      <c r="I25" s="40"/>
      <c r="K25" s="38"/>
      <c r="L25" s="26"/>
      <c r="M25" s="39"/>
      <c r="N25" s="34"/>
      <c r="O25" s="26"/>
      <c r="P25" s="34"/>
      <c r="Q25" s="26"/>
      <c r="R25" s="26"/>
      <c r="S25" s="40"/>
      <c r="U25" s="38"/>
      <c r="V25" s="26"/>
      <c r="W25" s="39"/>
      <c r="X25" s="34"/>
      <c r="Y25" s="26"/>
      <c r="Z25" s="34"/>
      <c r="AA25" s="26"/>
      <c r="AB25" s="26"/>
      <c r="AC25" s="40"/>
      <c r="AE25" s="38"/>
      <c r="AF25" s="26"/>
      <c r="AG25" s="39"/>
      <c r="AH25" s="34"/>
      <c r="AI25" s="26"/>
      <c r="AJ25" s="34"/>
      <c r="AK25" s="26"/>
      <c r="AL25" s="26"/>
      <c r="AM25" s="40"/>
    </row>
    <row r="26" spans="1:39" ht="11.1" customHeight="1">
      <c r="A26" s="17" t="s">
        <v>92</v>
      </c>
      <c r="B26" s="17"/>
      <c r="C26" s="20">
        <f>Assumptions!$E$18</f>
        <v>0</v>
      </c>
      <c r="D26" s="32" t="s">
        <v>89</v>
      </c>
      <c r="E26" s="28"/>
      <c r="F26" s="32"/>
      <c r="G26" s="28"/>
      <c r="H26" s="28"/>
      <c r="I26" s="36"/>
      <c r="K26" s="17" t="s">
        <v>92</v>
      </c>
      <c r="L26" s="17"/>
      <c r="M26" s="20">
        <f>Assumptions!$E$18</f>
        <v>0</v>
      </c>
      <c r="N26" s="32" t="s">
        <v>89</v>
      </c>
      <c r="O26" s="28"/>
      <c r="P26" s="32"/>
      <c r="Q26" s="28"/>
      <c r="R26" s="28"/>
      <c r="S26" s="36"/>
      <c r="U26" s="17" t="s">
        <v>92</v>
      </c>
      <c r="V26" s="17"/>
      <c r="W26" s="20">
        <f>Assumptions!$E$18</f>
        <v>0</v>
      </c>
      <c r="X26" s="32" t="s">
        <v>89</v>
      </c>
      <c r="Y26" s="28"/>
      <c r="Z26" s="32"/>
      <c r="AA26" s="28"/>
      <c r="AB26" s="28"/>
      <c r="AC26" s="36"/>
      <c r="AE26" s="17" t="s">
        <v>92</v>
      </c>
      <c r="AF26" s="17"/>
      <c r="AG26" s="20">
        <f>Assumptions!$E$18</f>
        <v>0</v>
      </c>
      <c r="AH26" s="32" t="s">
        <v>89</v>
      </c>
      <c r="AI26" s="28"/>
      <c r="AJ26" s="32"/>
      <c r="AK26" s="28"/>
      <c r="AL26" s="28"/>
      <c r="AM26" s="36"/>
    </row>
    <row r="27" spans="1:39" ht="11.1" customHeight="1">
      <c r="A27" s="29">
        <f>D10*E11*0.3</f>
        <v>0</v>
      </c>
      <c r="B27" s="30" t="s">
        <v>36</v>
      </c>
      <c r="C27" s="37">
        <f>C15</f>
        <v>61</v>
      </c>
      <c r="D27" s="32" t="s">
        <v>93</v>
      </c>
      <c r="E27" s="28">
        <f>E15*C26</f>
        <v>0</v>
      </c>
      <c r="F27" s="32" t="s">
        <v>6</v>
      </c>
      <c r="G27" s="28"/>
      <c r="H27" s="28"/>
      <c r="I27" s="33">
        <f>A27*C27*E27</f>
        <v>0</v>
      </c>
      <c r="K27" s="29">
        <f>N10*O11*0.3</f>
        <v>0</v>
      </c>
      <c r="L27" s="30" t="s">
        <v>36</v>
      </c>
      <c r="M27" s="37">
        <f>M15</f>
        <v>61</v>
      </c>
      <c r="N27" s="32" t="s">
        <v>93</v>
      </c>
      <c r="O27" s="28">
        <f>O15*M26</f>
        <v>0</v>
      </c>
      <c r="P27" s="32" t="s">
        <v>6</v>
      </c>
      <c r="Q27" s="28"/>
      <c r="R27" s="28"/>
      <c r="S27" s="33">
        <f>K27*M27*O27</f>
        <v>0</v>
      </c>
      <c r="U27" s="29">
        <f>X10*Y11*0.3</f>
        <v>0</v>
      </c>
      <c r="V27" s="30" t="s">
        <v>36</v>
      </c>
      <c r="W27" s="37">
        <f>W15</f>
        <v>61</v>
      </c>
      <c r="X27" s="32" t="s">
        <v>93</v>
      </c>
      <c r="Y27" s="28">
        <f>Y15*W26</f>
        <v>0</v>
      </c>
      <c r="Z27" s="32" t="s">
        <v>6</v>
      </c>
      <c r="AA27" s="28"/>
      <c r="AB27" s="28"/>
      <c r="AC27" s="33">
        <f>U27*W27*Y27</f>
        <v>0</v>
      </c>
      <c r="AE27" s="29">
        <f>AH10*AI11*0.3</f>
        <v>0</v>
      </c>
      <c r="AF27" s="30" t="s">
        <v>36</v>
      </c>
      <c r="AG27" s="37">
        <f>AG15</f>
        <v>61</v>
      </c>
      <c r="AH27" s="32" t="s">
        <v>93</v>
      </c>
      <c r="AI27" s="28">
        <f>AI15*AG26</f>
        <v>0</v>
      </c>
      <c r="AJ27" s="32" t="s">
        <v>6</v>
      </c>
      <c r="AK27" s="28"/>
      <c r="AL27" s="28"/>
      <c r="AM27" s="33">
        <f>AE27*AG27*AI27</f>
        <v>0</v>
      </c>
    </row>
    <row r="28" spans="1:39" ht="11.1" customHeight="1">
      <c r="A28" s="29">
        <f>D10*E11*0.5</f>
        <v>0</v>
      </c>
      <c r="B28" s="30" t="s">
        <v>90</v>
      </c>
      <c r="C28" s="37">
        <f>C16</f>
        <v>75</v>
      </c>
      <c r="D28" s="32" t="s">
        <v>93</v>
      </c>
      <c r="E28" s="28">
        <f>E16*C26</f>
        <v>0</v>
      </c>
      <c r="F28" s="32" t="s">
        <v>6</v>
      </c>
      <c r="G28" s="28"/>
      <c r="H28" s="28"/>
      <c r="I28" s="33">
        <f>A28*C28*E28</f>
        <v>0</v>
      </c>
      <c r="K28" s="29">
        <f>N10*O11*0.5</f>
        <v>0</v>
      </c>
      <c r="L28" s="30" t="s">
        <v>90</v>
      </c>
      <c r="M28" s="37">
        <f>M16</f>
        <v>75</v>
      </c>
      <c r="N28" s="32" t="s">
        <v>93</v>
      </c>
      <c r="O28" s="28">
        <f>O16*M26</f>
        <v>0</v>
      </c>
      <c r="P28" s="32" t="s">
        <v>6</v>
      </c>
      <c r="Q28" s="28"/>
      <c r="R28" s="28"/>
      <c r="S28" s="33">
        <f>K28*M28*O28</f>
        <v>0</v>
      </c>
      <c r="U28" s="29">
        <f>X10*Y11*0.5</f>
        <v>0</v>
      </c>
      <c r="V28" s="30" t="s">
        <v>90</v>
      </c>
      <c r="W28" s="37">
        <f>W16</f>
        <v>75</v>
      </c>
      <c r="X28" s="32" t="s">
        <v>93</v>
      </c>
      <c r="Y28" s="28">
        <f>Y16*W26</f>
        <v>0</v>
      </c>
      <c r="Z28" s="32" t="s">
        <v>6</v>
      </c>
      <c r="AA28" s="28"/>
      <c r="AB28" s="28"/>
      <c r="AC28" s="33">
        <f>U28*W28*Y28</f>
        <v>0</v>
      </c>
      <c r="AE28" s="29">
        <f>AH10*AI11*0.5</f>
        <v>0</v>
      </c>
      <c r="AF28" s="30" t="s">
        <v>90</v>
      </c>
      <c r="AG28" s="37">
        <f>AG16</f>
        <v>75</v>
      </c>
      <c r="AH28" s="32" t="s">
        <v>93</v>
      </c>
      <c r="AI28" s="28">
        <f>AI16*AG26</f>
        <v>0</v>
      </c>
      <c r="AJ28" s="32" t="s">
        <v>6</v>
      </c>
      <c r="AK28" s="28"/>
      <c r="AL28" s="28"/>
      <c r="AM28" s="33">
        <f>AE28*AG28*AI28</f>
        <v>0</v>
      </c>
    </row>
    <row r="29" spans="1:39" ht="11.1" customHeight="1">
      <c r="A29" s="29">
        <f>D10*E11*0.2</f>
        <v>0</v>
      </c>
      <c r="B29" s="30" t="s">
        <v>91</v>
      </c>
      <c r="C29" s="37">
        <f>C17</f>
        <v>88</v>
      </c>
      <c r="D29" s="32" t="s">
        <v>93</v>
      </c>
      <c r="E29" s="28">
        <f>E17*C26</f>
        <v>0</v>
      </c>
      <c r="F29" s="32" t="s">
        <v>6</v>
      </c>
      <c r="G29" s="28"/>
      <c r="H29" s="28"/>
      <c r="I29" s="33">
        <f>A29*C29*E29</f>
        <v>0</v>
      </c>
      <c r="K29" s="29">
        <f>N10*O11*0.2</f>
        <v>0</v>
      </c>
      <c r="L29" s="30" t="s">
        <v>91</v>
      </c>
      <c r="M29" s="37">
        <f>M17</f>
        <v>88</v>
      </c>
      <c r="N29" s="32" t="s">
        <v>93</v>
      </c>
      <c r="O29" s="28">
        <f>O17*M26</f>
        <v>0</v>
      </c>
      <c r="P29" s="32" t="s">
        <v>6</v>
      </c>
      <c r="Q29" s="28"/>
      <c r="R29" s="28"/>
      <c r="S29" s="33">
        <f>K29*M29*O29</f>
        <v>0</v>
      </c>
      <c r="U29" s="29">
        <f>X10*Y11*0.2</f>
        <v>0</v>
      </c>
      <c r="V29" s="30" t="s">
        <v>91</v>
      </c>
      <c r="W29" s="37">
        <f>W17</f>
        <v>88</v>
      </c>
      <c r="X29" s="32" t="s">
        <v>93</v>
      </c>
      <c r="Y29" s="28">
        <f>Y17*W26</f>
        <v>0</v>
      </c>
      <c r="Z29" s="32" t="s">
        <v>6</v>
      </c>
      <c r="AA29" s="28"/>
      <c r="AB29" s="28"/>
      <c r="AC29" s="33">
        <f>U29*W29*Y29</f>
        <v>0</v>
      </c>
      <c r="AE29" s="29">
        <f>AH10*AI11*0.2</f>
        <v>0</v>
      </c>
      <c r="AF29" s="30" t="s">
        <v>91</v>
      </c>
      <c r="AG29" s="37">
        <f>AG17</f>
        <v>88</v>
      </c>
      <c r="AH29" s="32" t="s">
        <v>93</v>
      </c>
      <c r="AI29" s="28">
        <f>AI17*AG26</f>
        <v>0</v>
      </c>
      <c r="AJ29" s="32" t="s">
        <v>6</v>
      </c>
      <c r="AK29" s="28"/>
      <c r="AL29" s="28"/>
      <c r="AM29" s="33">
        <f>AE29*AG29*AI29</f>
        <v>0</v>
      </c>
    </row>
    <row r="30" spans="1:39" ht="11.1" customHeight="1">
      <c r="A30" s="38"/>
      <c r="B30" s="26"/>
      <c r="C30" s="39"/>
      <c r="D30" s="34"/>
      <c r="E30" s="26"/>
      <c r="F30" s="34"/>
      <c r="G30" s="26"/>
      <c r="H30" s="26"/>
      <c r="I30" s="40"/>
      <c r="K30" s="38"/>
      <c r="L30" s="26"/>
      <c r="M30" s="39"/>
      <c r="N30" s="34"/>
      <c r="O30" s="26"/>
      <c r="P30" s="34"/>
      <c r="Q30" s="26"/>
      <c r="R30" s="26"/>
      <c r="S30" s="40"/>
      <c r="U30" s="38"/>
      <c r="V30" s="26"/>
      <c r="W30" s="39"/>
      <c r="X30" s="34"/>
      <c r="Y30" s="26"/>
      <c r="Z30" s="34"/>
      <c r="AA30" s="26"/>
      <c r="AB30" s="26"/>
      <c r="AC30" s="40"/>
      <c r="AE30" s="38"/>
      <c r="AF30" s="26"/>
      <c r="AG30" s="39"/>
      <c r="AH30" s="34"/>
      <c r="AI30" s="26"/>
      <c r="AJ30" s="34"/>
      <c r="AK30" s="26"/>
      <c r="AL30" s="26"/>
      <c r="AM30" s="40"/>
    </row>
    <row r="31" spans="1:39" ht="11.1" customHeight="1">
      <c r="A31" s="17" t="s">
        <v>94</v>
      </c>
      <c r="B31" s="17"/>
      <c r="C31" s="20">
        <f>Assumptions!$F$18</f>
        <v>0</v>
      </c>
      <c r="D31" s="32" t="s">
        <v>89</v>
      </c>
      <c r="E31" s="28"/>
      <c r="F31" s="32"/>
      <c r="G31" s="28"/>
      <c r="H31" s="28"/>
      <c r="I31" s="36"/>
      <c r="K31" s="17" t="s">
        <v>94</v>
      </c>
      <c r="L31" s="17"/>
      <c r="M31" s="20">
        <f>Assumptions!$F$18</f>
        <v>0</v>
      </c>
      <c r="N31" s="32" t="s">
        <v>89</v>
      </c>
      <c r="O31" s="28"/>
      <c r="P31" s="32"/>
      <c r="Q31" s="28"/>
      <c r="R31" s="28"/>
      <c r="S31" s="36"/>
      <c r="U31" s="17" t="s">
        <v>94</v>
      </c>
      <c r="V31" s="17"/>
      <c r="W31" s="20">
        <f>Assumptions!$F$18</f>
        <v>0</v>
      </c>
      <c r="X31" s="32" t="s">
        <v>89</v>
      </c>
      <c r="Y31" s="28"/>
      <c r="Z31" s="32"/>
      <c r="AA31" s="28"/>
      <c r="AB31" s="28"/>
      <c r="AC31" s="36"/>
      <c r="AE31" s="17" t="s">
        <v>94</v>
      </c>
      <c r="AF31" s="17"/>
      <c r="AG31" s="20">
        <f>Assumptions!$F$18</f>
        <v>0</v>
      </c>
      <c r="AH31" s="32" t="s">
        <v>89</v>
      </c>
      <c r="AI31" s="28"/>
      <c r="AJ31" s="32"/>
      <c r="AK31" s="28"/>
      <c r="AL31" s="28"/>
      <c r="AM31" s="36"/>
    </row>
    <row r="32" spans="1:39" ht="11.1" customHeight="1">
      <c r="A32" s="29">
        <f>D10*G11*0.3</f>
        <v>0</v>
      </c>
      <c r="B32" s="30" t="s">
        <v>36</v>
      </c>
      <c r="C32" s="37">
        <f>C15</f>
        <v>61</v>
      </c>
      <c r="D32" s="32" t="s">
        <v>93</v>
      </c>
      <c r="E32" s="28">
        <f>E15*C31</f>
        <v>0</v>
      </c>
      <c r="F32" s="32" t="s">
        <v>6</v>
      </c>
      <c r="G32" s="28"/>
      <c r="H32" s="28"/>
      <c r="I32" s="33">
        <f>A32*C32*E32</f>
        <v>0</v>
      </c>
      <c r="K32" s="29">
        <f>N10*Q11*0.3</f>
        <v>0</v>
      </c>
      <c r="L32" s="30" t="s">
        <v>36</v>
      </c>
      <c r="M32" s="37">
        <f>M15</f>
        <v>61</v>
      </c>
      <c r="N32" s="32" t="s">
        <v>93</v>
      </c>
      <c r="O32" s="28">
        <f>O15*M31</f>
        <v>0</v>
      </c>
      <c r="P32" s="32" t="s">
        <v>6</v>
      </c>
      <c r="Q32" s="28"/>
      <c r="R32" s="28"/>
      <c r="S32" s="33">
        <f>K32*M32*O32</f>
        <v>0</v>
      </c>
      <c r="U32" s="29">
        <f>X10*AA11*0.3</f>
        <v>0</v>
      </c>
      <c r="V32" s="30" t="s">
        <v>36</v>
      </c>
      <c r="W32" s="37">
        <f>W15</f>
        <v>61</v>
      </c>
      <c r="X32" s="32" t="s">
        <v>93</v>
      </c>
      <c r="Y32" s="28">
        <f>Y15*W31</f>
        <v>0</v>
      </c>
      <c r="Z32" s="32" t="s">
        <v>6</v>
      </c>
      <c r="AA32" s="28"/>
      <c r="AB32" s="28"/>
      <c r="AC32" s="33">
        <f>U32*W32*Y32</f>
        <v>0</v>
      </c>
      <c r="AE32" s="29">
        <f>AH10*AK11*0.3</f>
        <v>0</v>
      </c>
      <c r="AF32" s="30" t="s">
        <v>36</v>
      </c>
      <c r="AG32" s="37">
        <f>AG15</f>
        <v>61</v>
      </c>
      <c r="AH32" s="32" t="s">
        <v>93</v>
      </c>
      <c r="AI32" s="28">
        <f>AI15*AG31</f>
        <v>0</v>
      </c>
      <c r="AJ32" s="32" t="s">
        <v>6</v>
      </c>
      <c r="AK32" s="28"/>
      <c r="AL32" s="28"/>
      <c r="AM32" s="33">
        <f>AE32*AG32*AI32</f>
        <v>0</v>
      </c>
    </row>
    <row r="33" spans="1:39" ht="11.1" customHeight="1">
      <c r="A33" s="29">
        <f>D10*G11*0.5</f>
        <v>0</v>
      </c>
      <c r="B33" s="30" t="s">
        <v>90</v>
      </c>
      <c r="C33" s="37">
        <f>C16</f>
        <v>75</v>
      </c>
      <c r="D33" s="32" t="s">
        <v>93</v>
      </c>
      <c r="E33" s="28">
        <f>E16*C31</f>
        <v>0</v>
      </c>
      <c r="F33" s="32" t="s">
        <v>6</v>
      </c>
      <c r="G33" s="28"/>
      <c r="H33" s="28"/>
      <c r="I33" s="33">
        <f>A33*C33*E33</f>
        <v>0</v>
      </c>
      <c r="K33" s="29">
        <f>N10*Q11*0.5</f>
        <v>0</v>
      </c>
      <c r="L33" s="30" t="s">
        <v>90</v>
      </c>
      <c r="M33" s="37">
        <f>M16</f>
        <v>75</v>
      </c>
      <c r="N33" s="32" t="s">
        <v>93</v>
      </c>
      <c r="O33" s="28">
        <f>O16*M31</f>
        <v>0</v>
      </c>
      <c r="P33" s="32" t="s">
        <v>6</v>
      </c>
      <c r="Q33" s="28"/>
      <c r="R33" s="28"/>
      <c r="S33" s="33">
        <f>K33*M33*O33</f>
        <v>0</v>
      </c>
      <c r="U33" s="29">
        <f>X10*AA11*0.5</f>
        <v>0</v>
      </c>
      <c r="V33" s="30" t="s">
        <v>90</v>
      </c>
      <c r="W33" s="37">
        <f>W16</f>
        <v>75</v>
      </c>
      <c r="X33" s="32" t="s">
        <v>93</v>
      </c>
      <c r="Y33" s="28">
        <f>Y16*W31</f>
        <v>0</v>
      </c>
      <c r="Z33" s="32" t="s">
        <v>6</v>
      </c>
      <c r="AA33" s="28"/>
      <c r="AB33" s="28"/>
      <c r="AC33" s="33">
        <f>U33*W33*Y33</f>
        <v>0</v>
      </c>
      <c r="AE33" s="29">
        <f>AH10*AK11*0.5</f>
        <v>0</v>
      </c>
      <c r="AF33" s="30" t="s">
        <v>90</v>
      </c>
      <c r="AG33" s="37">
        <f>AG16</f>
        <v>75</v>
      </c>
      <c r="AH33" s="32" t="s">
        <v>93</v>
      </c>
      <c r="AI33" s="28">
        <f>AI16*AG31</f>
        <v>0</v>
      </c>
      <c r="AJ33" s="32" t="s">
        <v>6</v>
      </c>
      <c r="AK33" s="28"/>
      <c r="AL33" s="28"/>
      <c r="AM33" s="33">
        <f>AE33*AG33*AI33</f>
        <v>0</v>
      </c>
    </row>
    <row r="34" spans="1:39" ht="11.1" customHeight="1">
      <c r="A34" s="29">
        <f>D10*G11*0.2</f>
        <v>0</v>
      </c>
      <c r="B34" s="30" t="s">
        <v>91</v>
      </c>
      <c r="C34" s="37">
        <f>C17</f>
        <v>88</v>
      </c>
      <c r="D34" s="32" t="s">
        <v>93</v>
      </c>
      <c r="E34" s="28">
        <f>E17*C31</f>
        <v>0</v>
      </c>
      <c r="F34" s="32" t="s">
        <v>6</v>
      </c>
      <c r="G34" s="28"/>
      <c r="H34" s="28"/>
      <c r="I34" s="33">
        <f>A34*C34*E34</f>
        <v>0</v>
      </c>
      <c r="K34" s="29">
        <f>N10*Q11*0.2</f>
        <v>0</v>
      </c>
      <c r="L34" s="30" t="s">
        <v>91</v>
      </c>
      <c r="M34" s="37">
        <f>M17</f>
        <v>88</v>
      </c>
      <c r="N34" s="32" t="s">
        <v>93</v>
      </c>
      <c r="O34" s="28">
        <f>O17*M31</f>
        <v>0</v>
      </c>
      <c r="P34" s="32" t="s">
        <v>6</v>
      </c>
      <c r="Q34" s="28"/>
      <c r="R34" s="28"/>
      <c r="S34" s="33">
        <f>K34*M34*O34</f>
        <v>0</v>
      </c>
      <c r="U34" s="29">
        <f>X10*AA11*0.2</f>
        <v>0</v>
      </c>
      <c r="V34" s="30" t="s">
        <v>91</v>
      </c>
      <c r="W34" s="37">
        <f>W17</f>
        <v>88</v>
      </c>
      <c r="X34" s="32" t="s">
        <v>93</v>
      </c>
      <c r="Y34" s="28">
        <f>Y17*W31</f>
        <v>0</v>
      </c>
      <c r="Z34" s="32" t="s">
        <v>6</v>
      </c>
      <c r="AA34" s="28"/>
      <c r="AB34" s="28"/>
      <c r="AC34" s="33">
        <f>U34*W34*Y34</f>
        <v>0</v>
      </c>
      <c r="AE34" s="29">
        <f>AH10*AK11*0.2</f>
        <v>0</v>
      </c>
      <c r="AF34" s="30" t="s">
        <v>91</v>
      </c>
      <c r="AG34" s="37">
        <f>AG17</f>
        <v>88</v>
      </c>
      <c r="AH34" s="32" t="s">
        <v>93</v>
      </c>
      <c r="AI34" s="28">
        <f>AI17*AG31</f>
        <v>0</v>
      </c>
      <c r="AJ34" s="32" t="s">
        <v>6</v>
      </c>
      <c r="AK34" s="28"/>
      <c r="AL34" s="28"/>
      <c r="AM34" s="33">
        <f>AE34*AG34*AI34</f>
        <v>0</v>
      </c>
    </row>
    <row r="35" spans="1:39" ht="11.1" customHeight="1">
      <c r="A35" s="41">
        <f>SUM(A15:A34)</f>
        <v>500</v>
      </c>
      <c r="B35" s="34" t="s">
        <v>95</v>
      </c>
      <c r="C35" s="26"/>
      <c r="D35" s="26"/>
      <c r="E35" s="26"/>
      <c r="F35" s="26"/>
      <c r="G35" s="26"/>
      <c r="H35" s="26"/>
      <c r="I35" s="35"/>
      <c r="K35" s="41">
        <f>SUM(K15:K34)</f>
        <v>500</v>
      </c>
      <c r="L35" s="34" t="s">
        <v>95</v>
      </c>
      <c r="M35" s="26"/>
      <c r="N35" s="26"/>
      <c r="O35" s="26"/>
      <c r="P35" s="26"/>
      <c r="Q35" s="26"/>
      <c r="R35" s="26"/>
      <c r="S35" s="35"/>
      <c r="U35" s="41">
        <f>SUM(U15:U34)</f>
        <v>500</v>
      </c>
      <c r="V35" s="34" t="s">
        <v>95</v>
      </c>
      <c r="W35" s="26"/>
      <c r="X35" s="26"/>
      <c r="Y35" s="26"/>
      <c r="Z35" s="26"/>
      <c r="AA35" s="26"/>
      <c r="AB35" s="26"/>
      <c r="AC35" s="35"/>
      <c r="AE35" s="41">
        <f>SUM(AE15:AE34)</f>
        <v>500</v>
      </c>
      <c r="AF35" s="34" t="s">
        <v>95</v>
      </c>
      <c r="AG35" s="26"/>
      <c r="AH35" s="26"/>
      <c r="AI35" s="26"/>
      <c r="AJ35" s="26"/>
      <c r="AK35" s="26"/>
      <c r="AL35" s="26"/>
      <c r="AM35" s="35"/>
    </row>
    <row r="36" spans="1:39" ht="11.1" customHeight="1">
      <c r="A36" s="25" t="s">
        <v>4</v>
      </c>
      <c r="B36" s="26"/>
      <c r="C36" s="26"/>
      <c r="D36" s="26"/>
      <c r="E36" s="26"/>
      <c r="F36" s="26"/>
      <c r="G36" s="26"/>
      <c r="H36" s="26"/>
      <c r="I36" s="42">
        <f>SUM(I15:I34)</f>
        <v>92587035</v>
      </c>
      <c r="K36" s="25" t="s">
        <v>4</v>
      </c>
      <c r="L36" s="26"/>
      <c r="M36" s="26"/>
      <c r="N36" s="26"/>
      <c r="O36" s="26"/>
      <c r="P36" s="26"/>
      <c r="Q36" s="26"/>
      <c r="R36" s="26"/>
      <c r="S36" s="42">
        <f>SUM(S15:S34)</f>
        <v>86564480</v>
      </c>
      <c r="U36" s="25" t="s">
        <v>4</v>
      </c>
      <c r="V36" s="26"/>
      <c r="W36" s="26"/>
      <c r="X36" s="26"/>
      <c r="Y36" s="26"/>
      <c r="Z36" s="26"/>
      <c r="AA36" s="26"/>
      <c r="AB36" s="26"/>
      <c r="AC36" s="42">
        <f>SUM(AC15:AC34)</f>
        <v>80939160</v>
      </c>
      <c r="AE36" s="25" t="s">
        <v>4</v>
      </c>
      <c r="AF36" s="26"/>
      <c r="AG36" s="26"/>
      <c r="AH36" s="26"/>
      <c r="AI36" s="26"/>
      <c r="AJ36" s="26"/>
      <c r="AK36" s="26"/>
      <c r="AL36" s="26"/>
      <c r="AM36" s="42">
        <f>SUM(AM15:AM34)</f>
        <v>80165980</v>
      </c>
    </row>
    <row r="37" ht="11.1" customHeight="1"/>
    <row r="38" spans="1:39" ht="11.1" customHeight="1">
      <c r="A38" s="25" t="s">
        <v>8</v>
      </c>
      <c r="B38" s="26"/>
      <c r="C38" s="26"/>
      <c r="D38" s="26"/>
      <c r="E38" s="26"/>
      <c r="F38" s="26"/>
      <c r="G38" s="26"/>
      <c r="H38" s="26"/>
      <c r="I38" s="40"/>
      <c r="K38" s="25" t="s">
        <v>8</v>
      </c>
      <c r="L38" s="26"/>
      <c r="M38" s="26"/>
      <c r="N38" s="26"/>
      <c r="O38" s="26"/>
      <c r="P38" s="26"/>
      <c r="Q38" s="26"/>
      <c r="R38" s="26"/>
      <c r="S38" s="40"/>
      <c r="U38" s="25" t="s">
        <v>8</v>
      </c>
      <c r="V38" s="26"/>
      <c r="W38" s="26"/>
      <c r="X38" s="26"/>
      <c r="Y38" s="26"/>
      <c r="Z38" s="26"/>
      <c r="AA38" s="26"/>
      <c r="AB38" s="26"/>
      <c r="AC38" s="40"/>
      <c r="AE38" s="25" t="s">
        <v>8</v>
      </c>
      <c r="AF38" s="26"/>
      <c r="AG38" s="26"/>
      <c r="AH38" s="26"/>
      <c r="AI38" s="26"/>
      <c r="AJ38" s="26"/>
      <c r="AK38" s="26"/>
      <c r="AL38" s="26"/>
      <c r="AM38" s="40"/>
    </row>
    <row r="39" spans="1:39" ht="11.1" customHeight="1">
      <c r="A39" s="16" t="s">
        <v>9</v>
      </c>
      <c r="B39" s="30" t="s">
        <v>36</v>
      </c>
      <c r="C39" s="43">
        <f>A15</f>
        <v>0</v>
      </c>
      <c r="D39" s="32" t="s">
        <v>96</v>
      </c>
      <c r="E39" s="18">
        <f>'Land Values'!D10</f>
        <v>6312.95</v>
      </c>
      <c r="F39" s="32" t="s">
        <v>97</v>
      </c>
      <c r="G39" s="28"/>
      <c r="H39" s="28"/>
      <c r="I39" s="33">
        <f>C39*E39</f>
        <v>0</v>
      </c>
      <c r="K39" s="16" t="s">
        <v>9</v>
      </c>
      <c r="L39" s="30" t="s">
        <v>36</v>
      </c>
      <c r="M39" s="43">
        <f>K15</f>
        <v>0</v>
      </c>
      <c r="N39" s="32" t="s">
        <v>96</v>
      </c>
      <c r="O39" s="18">
        <f>'Land Values'!E10</f>
        <v>6312.95</v>
      </c>
      <c r="P39" s="32" t="s">
        <v>97</v>
      </c>
      <c r="Q39" s="28"/>
      <c r="R39" s="28"/>
      <c r="S39" s="33">
        <f>M39*O39</f>
        <v>0</v>
      </c>
      <c r="U39" s="16" t="s">
        <v>9</v>
      </c>
      <c r="V39" s="30" t="s">
        <v>36</v>
      </c>
      <c r="W39" s="43">
        <f>U15</f>
        <v>0</v>
      </c>
      <c r="X39" s="32" t="s">
        <v>96</v>
      </c>
      <c r="Y39" s="18">
        <f>'Land Values'!F10</f>
        <v>6312.95</v>
      </c>
      <c r="Z39" s="32" t="s">
        <v>97</v>
      </c>
      <c r="AA39" s="28"/>
      <c r="AB39" s="28"/>
      <c r="AC39" s="33">
        <f>W39*Y39</f>
        <v>0</v>
      </c>
      <c r="AE39" s="16" t="s">
        <v>9</v>
      </c>
      <c r="AF39" s="30" t="s">
        <v>36</v>
      </c>
      <c r="AG39" s="43">
        <f>AE15</f>
        <v>0</v>
      </c>
      <c r="AH39" s="32" t="s">
        <v>96</v>
      </c>
      <c r="AI39" s="18">
        <f>'Land Values'!G10</f>
        <v>7481.735</v>
      </c>
      <c r="AJ39" s="32" t="s">
        <v>97</v>
      </c>
      <c r="AK39" s="28"/>
      <c r="AL39" s="28"/>
      <c r="AM39" s="33">
        <f>AG39*AI39</f>
        <v>0</v>
      </c>
    </row>
    <row r="40" spans="1:39" ht="11.1" customHeight="1">
      <c r="A40" s="17"/>
      <c r="B40" s="30" t="s">
        <v>98</v>
      </c>
      <c r="C40" s="43">
        <f>A16</f>
        <v>90</v>
      </c>
      <c r="D40" s="32" t="s">
        <v>96</v>
      </c>
      <c r="E40" s="18">
        <f>'Land Values'!D18</f>
        <v>15782.375</v>
      </c>
      <c r="F40" s="32" t="s">
        <v>97</v>
      </c>
      <c r="G40" s="28"/>
      <c r="H40" s="28"/>
      <c r="I40" s="33">
        <f>C40*E40</f>
        <v>1420413.75</v>
      </c>
      <c r="K40" s="17"/>
      <c r="L40" s="30" t="s">
        <v>98</v>
      </c>
      <c r="M40" s="43">
        <f>K16</f>
        <v>80</v>
      </c>
      <c r="N40" s="32" t="s">
        <v>96</v>
      </c>
      <c r="O40" s="18">
        <f>'Land Values'!E18</f>
        <v>15782.375</v>
      </c>
      <c r="P40" s="32" t="s">
        <v>97</v>
      </c>
      <c r="Q40" s="28"/>
      <c r="R40" s="28"/>
      <c r="S40" s="33">
        <f>M40*O40</f>
        <v>1262590</v>
      </c>
      <c r="U40" s="17"/>
      <c r="V40" s="30" t="s">
        <v>98</v>
      </c>
      <c r="W40" s="43">
        <f>U16</f>
        <v>70</v>
      </c>
      <c r="X40" s="32" t="s">
        <v>96</v>
      </c>
      <c r="Y40" s="18">
        <f>'Land Values'!F18</f>
        <v>15782.375</v>
      </c>
      <c r="Z40" s="32" t="s">
        <v>97</v>
      </c>
      <c r="AA40" s="28"/>
      <c r="AB40" s="28"/>
      <c r="AC40" s="33">
        <f>W40*Y40</f>
        <v>1104766.25</v>
      </c>
      <c r="AE40" s="17"/>
      <c r="AF40" s="30" t="s">
        <v>98</v>
      </c>
      <c r="AG40" s="43">
        <f>AE16</f>
        <v>60</v>
      </c>
      <c r="AH40" s="32" t="s">
        <v>96</v>
      </c>
      <c r="AI40" s="18">
        <f>'Land Values'!G18</f>
        <v>18704.3375</v>
      </c>
      <c r="AJ40" s="32" t="s">
        <v>97</v>
      </c>
      <c r="AK40" s="28"/>
      <c r="AL40" s="28"/>
      <c r="AM40" s="33">
        <f>AG40*AI40</f>
        <v>1122260.25</v>
      </c>
    </row>
    <row r="41" spans="1:39" ht="11.1" customHeight="1">
      <c r="A41" s="17"/>
      <c r="B41" s="30" t="s">
        <v>91</v>
      </c>
      <c r="C41" s="43">
        <f>A17</f>
        <v>180</v>
      </c>
      <c r="D41" s="32" t="s">
        <v>96</v>
      </c>
      <c r="E41" s="18">
        <f>'Land Values'!D26</f>
        <v>18037.000000000004</v>
      </c>
      <c r="F41" s="32" t="s">
        <v>97</v>
      </c>
      <c r="G41" s="28"/>
      <c r="H41" s="28"/>
      <c r="I41" s="33">
        <f>C41*E41</f>
        <v>3246660.0000000005</v>
      </c>
      <c r="K41" s="17"/>
      <c r="L41" s="30" t="s">
        <v>91</v>
      </c>
      <c r="M41" s="43">
        <f>K17</f>
        <v>160</v>
      </c>
      <c r="N41" s="32" t="s">
        <v>96</v>
      </c>
      <c r="O41" s="18">
        <f>'Land Values'!E26</f>
        <v>17808.428571428572</v>
      </c>
      <c r="P41" s="32" t="s">
        <v>97</v>
      </c>
      <c r="Q41" s="28"/>
      <c r="R41" s="28"/>
      <c r="S41" s="33">
        <f>M41*O41</f>
        <v>2849348.5714285718</v>
      </c>
      <c r="U41" s="17"/>
      <c r="V41" s="30" t="s">
        <v>91</v>
      </c>
      <c r="W41" s="43">
        <f>U17</f>
        <v>140</v>
      </c>
      <c r="X41" s="32" t="s">
        <v>96</v>
      </c>
      <c r="Y41" s="18">
        <f>'Land Values'!F26</f>
        <v>17808.428571428572</v>
      </c>
      <c r="Z41" s="32" t="s">
        <v>97</v>
      </c>
      <c r="AA41" s="28"/>
      <c r="AB41" s="28"/>
      <c r="AC41" s="33">
        <f>W41*Y41</f>
        <v>2493180</v>
      </c>
      <c r="AE41" s="17"/>
      <c r="AF41" s="30" t="s">
        <v>91</v>
      </c>
      <c r="AG41" s="43">
        <f>AE17</f>
        <v>120</v>
      </c>
      <c r="AH41" s="32" t="s">
        <v>96</v>
      </c>
      <c r="AI41" s="18">
        <f>'Land Values'!G26</f>
        <v>21147.814285714285</v>
      </c>
      <c r="AJ41" s="32" t="s">
        <v>97</v>
      </c>
      <c r="AK41" s="28"/>
      <c r="AL41" s="28"/>
      <c r="AM41" s="33">
        <f>AG41*AI41</f>
        <v>2537737.7142857141</v>
      </c>
    </row>
    <row r="42" spans="1:39" ht="11.1" customHeight="1">
      <c r="A42" s="17"/>
      <c r="B42" s="30" t="s">
        <v>99</v>
      </c>
      <c r="C42" s="43">
        <f>A18</f>
        <v>135</v>
      </c>
      <c r="D42" s="32" t="s">
        <v>96</v>
      </c>
      <c r="E42" s="18">
        <f>'Land Values'!D34</f>
        <v>25251.8</v>
      </c>
      <c r="F42" s="32" t="s">
        <v>97</v>
      </c>
      <c r="G42" s="28"/>
      <c r="H42" s="28"/>
      <c r="I42" s="33">
        <f>C42*E42</f>
        <v>3408993</v>
      </c>
      <c r="K42" s="17"/>
      <c r="L42" s="30" t="s">
        <v>99</v>
      </c>
      <c r="M42" s="43">
        <f>K18</f>
        <v>120</v>
      </c>
      <c r="N42" s="32" t="s">
        <v>96</v>
      </c>
      <c r="O42" s="18">
        <f>'Land Values'!E34</f>
        <v>24931.8</v>
      </c>
      <c r="P42" s="32" t="s">
        <v>97</v>
      </c>
      <c r="Q42" s="28"/>
      <c r="R42" s="28"/>
      <c r="S42" s="33">
        <f>M42*O42</f>
        <v>2991816</v>
      </c>
      <c r="U42" s="17"/>
      <c r="V42" s="30" t="s">
        <v>99</v>
      </c>
      <c r="W42" s="43">
        <f>U18</f>
        <v>105</v>
      </c>
      <c r="X42" s="32" t="s">
        <v>96</v>
      </c>
      <c r="Y42" s="18">
        <f>'Land Values'!F34</f>
        <v>24931.8</v>
      </c>
      <c r="Z42" s="32" t="s">
        <v>97</v>
      </c>
      <c r="AA42" s="28"/>
      <c r="AB42" s="28"/>
      <c r="AC42" s="33">
        <f>W42*Y42</f>
        <v>2617839</v>
      </c>
      <c r="AE42" s="17"/>
      <c r="AF42" s="30" t="s">
        <v>99</v>
      </c>
      <c r="AG42" s="43">
        <f>AE18</f>
        <v>90</v>
      </c>
      <c r="AH42" s="32" t="s">
        <v>96</v>
      </c>
      <c r="AI42" s="18">
        <f>'Land Values'!G34</f>
        <v>29606.94</v>
      </c>
      <c r="AJ42" s="32" t="s">
        <v>97</v>
      </c>
      <c r="AK42" s="28"/>
      <c r="AL42" s="28"/>
      <c r="AM42" s="33">
        <f>AG42*AI42</f>
        <v>2664624.6</v>
      </c>
    </row>
    <row r="43" spans="1:39" ht="11.1" customHeight="1">
      <c r="A43" s="4"/>
      <c r="B43" s="30" t="s">
        <v>100</v>
      </c>
      <c r="C43" s="43">
        <f>A19</f>
        <v>45</v>
      </c>
      <c r="D43" s="32" t="s">
        <v>96</v>
      </c>
      <c r="E43" s="18">
        <f>'Land Values'!D42</f>
        <v>31564.75</v>
      </c>
      <c r="F43" s="32" t="s">
        <v>97</v>
      </c>
      <c r="G43" s="155" t="s">
        <v>126</v>
      </c>
      <c r="H43" s="156">
        <f>SUM(I39:I43)</f>
        <v>9496480.5</v>
      </c>
      <c r="I43" s="33">
        <f>C43*E43</f>
        <v>1420413.75</v>
      </c>
      <c r="K43" s="4"/>
      <c r="L43" s="30" t="s">
        <v>100</v>
      </c>
      <c r="M43" s="43">
        <f>K19</f>
        <v>40</v>
      </c>
      <c r="N43" s="32" t="s">
        <v>96</v>
      </c>
      <c r="O43" s="18">
        <f>'Land Values'!E42</f>
        <v>31164.75</v>
      </c>
      <c r="P43" s="32" t="s">
        <v>97</v>
      </c>
      <c r="Q43" s="155" t="s">
        <v>126</v>
      </c>
      <c r="R43" s="156">
        <f>SUM(S39:S43)</f>
        <v>8350344.5714285718</v>
      </c>
      <c r="S43" s="33">
        <f>M43*O43</f>
        <v>1246590</v>
      </c>
      <c r="U43" s="4"/>
      <c r="V43" s="30" t="s">
        <v>100</v>
      </c>
      <c r="W43" s="43">
        <f>U19</f>
        <v>35</v>
      </c>
      <c r="X43" s="32" t="s">
        <v>96</v>
      </c>
      <c r="Y43" s="18">
        <f>'Land Values'!F42</f>
        <v>31164.75</v>
      </c>
      <c r="Z43" s="32" t="s">
        <v>97</v>
      </c>
      <c r="AA43" s="155" t="s">
        <v>126</v>
      </c>
      <c r="AB43" s="156">
        <f>SUM(AC39:AC43)</f>
        <v>7306551.5</v>
      </c>
      <c r="AC43" s="33">
        <f>W43*Y43</f>
        <v>1090766.25</v>
      </c>
      <c r="AE43" s="4"/>
      <c r="AF43" s="30" t="s">
        <v>100</v>
      </c>
      <c r="AG43" s="43">
        <f>AE19</f>
        <v>30</v>
      </c>
      <c r="AH43" s="32" t="s">
        <v>96</v>
      </c>
      <c r="AI43" s="18">
        <f>'Land Values'!G42</f>
        <v>37008.675</v>
      </c>
      <c r="AJ43" s="32" t="s">
        <v>97</v>
      </c>
      <c r="AK43" s="155" t="s">
        <v>126</v>
      </c>
      <c r="AL43" s="156">
        <f>SUM(AM39:AM43)</f>
        <v>7434882.8142857142</v>
      </c>
      <c r="AM43" s="33">
        <f>AG43*AI43</f>
        <v>1110260.25</v>
      </c>
    </row>
    <row r="44" spans="1:39" ht="11.1" customHeight="1">
      <c r="A44" s="17" t="s">
        <v>101</v>
      </c>
      <c r="B44" s="17"/>
      <c r="C44" s="28"/>
      <c r="D44" s="44"/>
      <c r="E44" s="45">
        <f>IF(H43&lt;125000,0%,IF(H43&lt;250000,1%,IF(H43&lt;500000,3%,IF(H43&lt;1000000,4%,IF(H43&gt;1000000,5%)))))</f>
        <v>0.05</v>
      </c>
      <c r="F44" s="32"/>
      <c r="G44" s="28"/>
      <c r="H44" s="28"/>
      <c r="I44" s="33">
        <f>SUM(I39:I43)*E44</f>
        <v>474824.025</v>
      </c>
      <c r="K44" s="17" t="s">
        <v>101</v>
      </c>
      <c r="L44" s="17"/>
      <c r="M44" s="28"/>
      <c r="N44" s="44"/>
      <c r="O44" s="45">
        <f>IF(R43&lt;125000,0%,IF(R43&lt;250000,1%,IF(R43&lt;500000,3%,IF(R43&lt;1000000,4%,IF(R43&gt;1000000,5%)))))</f>
        <v>0.05</v>
      </c>
      <c r="P44" s="32"/>
      <c r="Q44" s="28"/>
      <c r="R44" s="28"/>
      <c r="S44" s="33">
        <f>SUM(S39:S43)*O44</f>
        <v>417517.22857142863</v>
      </c>
      <c r="U44" s="17" t="s">
        <v>101</v>
      </c>
      <c r="V44" s="17"/>
      <c r="W44" s="28"/>
      <c r="X44" s="44"/>
      <c r="Y44" s="45">
        <f>IF(AB43&lt;125000,0%,IF(AB43&lt;250000,1%,IF(AB43&lt;500000,3%,IF(AB43&lt;1000000,4%,IF(AB43&gt;1000000,5%)))))</f>
        <v>0.05</v>
      </c>
      <c r="Z44" s="32"/>
      <c r="AA44" s="28"/>
      <c r="AB44" s="28"/>
      <c r="AC44" s="33">
        <f>SUM(AC39:AC43)*Y44</f>
        <v>365327.575</v>
      </c>
      <c r="AE44" s="17" t="s">
        <v>101</v>
      </c>
      <c r="AF44" s="17"/>
      <c r="AG44" s="28"/>
      <c r="AH44" s="44"/>
      <c r="AI44" s="45">
        <f>IF(AL43&lt;125000,0%,IF(AL43&lt;250000,1%,IF(AL43&lt;500000,3%,IF(AL43&lt;1000000,4%,IF(AL43&gt;1000000,5%)))))</f>
        <v>0.05</v>
      </c>
      <c r="AJ44" s="32"/>
      <c r="AK44" s="28"/>
      <c r="AL44" s="28"/>
      <c r="AM44" s="33">
        <f>SUM(AM39:AM43)*AI44</f>
        <v>371744.14071428572</v>
      </c>
    </row>
    <row r="45" spans="1:39" ht="11.1" customHeight="1">
      <c r="A45" s="25" t="s">
        <v>10</v>
      </c>
      <c r="B45" s="26"/>
      <c r="C45" s="26"/>
      <c r="D45" s="34"/>
      <c r="E45" s="26"/>
      <c r="F45" s="34"/>
      <c r="G45" s="26"/>
      <c r="H45" s="26"/>
      <c r="I45" s="40"/>
      <c r="K45" s="25" t="s">
        <v>10</v>
      </c>
      <c r="L45" s="26"/>
      <c r="M45" s="26"/>
      <c r="N45" s="34"/>
      <c r="O45" s="26"/>
      <c r="P45" s="34"/>
      <c r="Q45" s="26"/>
      <c r="R45" s="26"/>
      <c r="S45" s="40"/>
      <c r="U45" s="25" t="s">
        <v>10</v>
      </c>
      <c r="V45" s="26"/>
      <c r="W45" s="26"/>
      <c r="X45" s="34"/>
      <c r="Y45" s="26"/>
      <c r="Z45" s="34"/>
      <c r="AA45" s="26"/>
      <c r="AB45" s="26"/>
      <c r="AC45" s="40"/>
      <c r="AE45" s="25" t="s">
        <v>10</v>
      </c>
      <c r="AF45" s="26"/>
      <c r="AG45" s="26"/>
      <c r="AH45" s="34"/>
      <c r="AI45" s="26"/>
      <c r="AJ45" s="34"/>
      <c r="AK45" s="26"/>
      <c r="AL45" s="26"/>
      <c r="AM45" s="40"/>
    </row>
    <row r="46" spans="1:39" ht="11.1" customHeight="1">
      <c r="A46" s="29">
        <f>A15+A22+A27+A32</f>
        <v>0</v>
      </c>
      <c r="B46" s="30" t="s">
        <v>36</v>
      </c>
      <c r="C46" s="28"/>
      <c r="D46" s="32"/>
      <c r="E46" s="18">
        <f>Assumptions!$G$22</f>
        <v>1096</v>
      </c>
      <c r="F46" s="32" t="s">
        <v>6</v>
      </c>
      <c r="G46" s="46">
        <f>Assumptions!$D$22</f>
        <v>1.15</v>
      </c>
      <c r="H46" s="32" t="s">
        <v>11</v>
      </c>
      <c r="I46" s="33">
        <f>(A15*C15*E46*G46)+(A22*C22*E46*G46)</f>
        <v>0</v>
      </c>
      <c r="K46" s="29">
        <f>K15+K22+K27+K32</f>
        <v>0</v>
      </c>
      <c r="L46" s="30" t="s">
        <v>36</v>
      </c>
      <c r="M46" s="28"/>
      <c r="N46" s="32"/>
      <c r="O46" s="18">
        <f>Assumptions!$G$22</f>
        <v>1096</v>
      </c>
      <c r="P46" s="32" t="s">
        <v>6</v>
      </c>
      <c r="Q46" s="46">
        <f>Assumptions!$D$22</f>
        <v>1.15</v>
      </c>
      <c r="R46" s="32" t="s">
        <v>11</v>
      </c>
      <c r="S46" s="33">
        <f>(K15*M15*O46*Q46)+(K22*M22*O46*Q46)</f>
        <v>0</v>
      </c>
      <c r="U46" s="29">
        <f>U15+U22+U27+U32</f>
        <v>0</v>
      </c>
      <c r="V46" s="30" t="s">
        <v>36</v>
      </c>
      <c r="W46" s="28"/>
      <c r="X46" s="32"/>
      <c r="Y46" s="18">
        <f>Assumptions!$G$22</f>
        <v>1096</v>
      </c>
      <c r="Z46" s="32" t="s">
        <v>6</v>
      </c>
      <c r="AA46" s="46">
        <f>Assumptions!$D$22</f>
        <v>1.15</v>
      </c>
      <c r="AB46" s="32" t="s">
        <v>11</v>
      </c>
      <c r="AC46" s="33">
        <f>(U15*W15*Y46*AA46)+(U22*W22*Y46*AA46)</f>
        <v>0</v>
      </c>
      <c r="AE46" s="29">
        <f>AE15+AE22+AE27+AE32</f>
        <v>0</v>
      </c>
      <c r="AF46" s="30" t="s">
        <v>36</v>
      </c>
      <c r="AG46" s="28"/>
      <c r="AH46" s="32"/>
      <c r="AI46" s="18">
        <f>Assumptions!$G$22</f>
        <v>1096</v>
      </c>
      <c r="AJ46" s="32" t="s">
        <v>6</v>
      </c>
      <c r="AK46" s="46">
        <f>Assumptions!$D$22</f>
        <v>1.15</v>
      </c>
      <c r="AL46" s="32" t="s">
        <v>11</v>
      </c>
      <c r="AM46" s="33">
        <f>(AE15*AG15*AI46*AK46)+(AE22*AG22*AI46*AK46)</f>
        <v>0</v>
      </c>
    </row>
    <row r="47" spans="1:39" ht="11.1" customHeight="1">
      <c r="A47" s="29">
        <f>A16+A23+A28+A33</f>
        <v>125</v>
      </c>
      <c r="B47" s="30" t="s">
        <v>102</v>
      </c>
      <c r="C47" s="28"/>
      <c r="D47" s="32"/>
      <c r="E47" s="18">
        <f>Assumptions!$G$23</f>
        <v>899</v>
      </c>
      <c r="F47" s="32" t="s">
        <v>6</v>
      </c>
      <c r="G47" s="28"/>
      <c r="H47" s="28"/>
      <c r="I47" s="33">
        <f>(A16*C16*E47)+(A23*C23*E47)</f>
        <v>8679845</v>
      </c>
      <c r="K47" s="29">
        <f>K16+K23+K28+K33</f>
        <v>150</v>
      </c>
      <c r="L47" s="30" t="s">
        <v>102</v>
      </c>
      <c r="M47" s="28"/>
      <c r="N47" s="32"/>
      <c r="O47" s="18">
        <f>Assumptions!$G$23</f>
        <v>899</v>
      </c>
      <c r="P47" s="32" t="s">
        <v>6</v>
      </c>
      <c r="Q47" s="28"/>
      <c r="R47" s="28"/>
      <c r="S47" s="33">
        <f>(K16*M16*O47)+(K23*M23*O47)</f>
        <v>10617190</v>
      </c>
      <c r="U47" s="29">
        <f>U16+U23+U28+U33</f>
        <v>175</v>
      </c>
      <c r="V47" s="30" t="s">
        <v>102</v>
      </c>
      <c r="W47" s="28"/>
      <c r="X47" s="32"/>
      <c r="Y47" s="18">
        <f>Assumptions!$G$23</f>
        <v>899</v>
      </c>
      <c r="Z47" s="32" t="s">
        <v>6</v>
      </c>
      <c r="AA47" s="28"/>
      <c r="AB47" s="28"/>
      <c r="AC47" s="33">
        <f>(U16*W16*Y47)+(U23*W23*Y47)</f>
        <v>12554535</v>
      </c>
      <c r="AE47" s="29">
        <f>AE16+AE23+AE28+AE33</f>
        <v>200</v>
      </c>
      <c r="AF47" s="30" t="s">
        <v>102</v>
      </c>
      <c r="AG47" s="28"/>
      <c r="AH47" s="32"/>
      <c r="AI47" s="18">
        <f>Assumptions!$G$23</f>
        <v>899</v>
      </c>
      <c r="AJ47" s="32" t="s">
        <v>6</v>
      </c>
      <c r="AK47" s="28"/>
      <c r="AL47" s="28"/>
      <c r="AM47" s="33">
        <f>(AE16*AG16*AI47)+(AE23*AG23*AI47)</f>
        <v>14491880</v>
      </c>
    </row>
    <row r="48" spans="1:39" ht="11.1" customHeight="1">
      <c r="A48" s="29">
        <f>A17+A24+A29+A34</f>
        <v>195</v>
      </c>
      <c r="B48" s="30" t="s">
        <v>103</v>
      </c>
      <c r="C48" s="28"/>
      <c r="D48" s="32"/>
      <c r="E48" s="18">
        <f>Assumptions!$G$24</f>
        <v>899</v>
      </c>
      <c r="F48" s="32" t="s">
        <v>6</v>
      </c>
      <c r="G48" s="28"/>
      <c r="H48" s="28"/>
      <c r="I48" s="33">
        <f>(A17*C17*E48)+(A24*C24*E48)</f>
        <v>15507750</v>
      </c>
      <c r="K48" s="29">
        <f>K17+K24+K29+K34</f>
        <v>190</v>
      </c>
      <c r="L48" s="30" t="s">
        <v>103</v>
      </c>
      <c r="M48" s="28"/>
      <c r="N48" s="32"/>
      <c r="O48" s="18">
        <f>Assumptions!$G$24</f>
        <v>899</v>
      </c>
      <c r="P48" s="32" t="s">
        <v>6</v>
      </c>
      <c r="Q48" s="28"/>
      <c r="R48" s="28"/>
      <c r="S48" s="33">
        <f>(K17*M17*O48)+(K24*M24*O48)</f>
        <v>15193100</v>
      </c>
      <c r="U48" s="29">
        <f>U17+U24+U29+U34</f>
        <v>185</v>
      </c>
      <c r="V48" s="30" t="s">
        <v>103</v>
      </c>
      <c r="W48" s="28"/>
      <c r="X48" s="32"/>
      <c r="Y48" s="18">
        <f>Assumptions!$G$24</f>
        <v>899</v>
      </c>
      <c r="Z48" s="32" t="s">
        <v>6</v>
      </c>
      <c r="AA48" s="28"/>
      <c r="AB48" s="28"/>
      <c r="AC48" s="33">
        <f>(U17*W17*Y48)+(U24*W24*Y48)</f>
        <v>14878450</v>
      </c>
      <c r="AE48" s="29">
        <f>AE17+AE24+AE29+AE34</f>
        <v>180</v>
      </c>
      <c r="AF48" s="30" t="s">
        <v>103</v>
      </c>
      <c r="AG48" s="28"/>
      <c r="AH48" s="32"/>
      <c r="AI48" s="18">
        <f>Assumptions!$G$24</f>
        <v>899</v>
      </c>
      <c r="AJ48" s="32" t="s">
        <v>6</v>
      </c>
      <c r="AK48" s="28"/>
      <c r="AL48" s="28"/>
      <c r="AM48" s="33">
        <f>(AE17*AG17*AI48)+(AE24*AG24*AI48)</f>
        <v>14563800</v>
      </c>
    </row>
    <row r="49" spans="1:39" ht="11.1" customHeight="1">
      <c r="A49" s="29">
        <f>A18</f>
        <v>135</v>
      </c>
      <c r="B49" s="30" t="s">
        <v>104</v>
      </c>
      <c r="C49" s="28"/>
      <c r="D49" s="32"/>
      <c r="E49" s="18">
        <f>Assumptions!$G$25</f>
        <v>899</v>
      </c>
      <c r="F49" s="32" t="s">
        <v>6</v>
      </c>
      <c r="G49" s="28"/>
      <c r="H49" s="28"/>
      <c r="I49" s="33">
        <f>(A18*C18*E49)</f>
        <v>14563800</v>
      </c>
      <c r="K49" s="29">
        <f>K18</f>
        <v>120</v>
      </c>
      <c r="L49" s="30" t="s">
        <v>104</v>
      </c>
      <c r="M49" s="28"/>
      <c r="N49" s="32"/>
      <c r="O49" s="18">
        <f>Assumptions!$G$25</f>
        <v>899</v>
      </c>
      <c r="P49" s="32" t="s">
        <v>6</v>
      </c>
      <c r="Q49" s="28"/>
      <c r="R49" s="28"/>
      <c r="S49" s="33">
        <f>(K18*M18*O49)</f>
        <v>12945600</v>
      </c>
      <c r="U49" s="29">
        <f>U18</f>
        <v>105</v>
      </c>
      <c r="V49" s="30" t="s">
        <v>104</v>
      </c>
      <c r="W49" s="28"/>
      <c r="X49" s="32"/>
      <c r="Y49" s="18">
        <f>Assumptions!$G$25</f>
        <v>899</v>
      </c>
      <c r="Z49" s="32" t="s">
        <v>6</v>
      </c>
      <c r="AA49" s="28"/>
      <c r="AB49" s="28"/>
      <c r="AC49" s="33">
        <f>(U18*W18*Y49)</f>
        <v>11327400</v>
      </c>
      <c r="AE49" s="29">
        <f>AE18</f>
        <v>90</v>
      </c>
      <c r="AF49" s="30" t="s">
        <v>104</v>
      </c>
      <c r="AG49" s="28"/>
      <c r="AH49" s="32"/>
      <c r="AI49" s="18">
        <f>Assumptions!$G$25</f>
        <v>899</v>
      </c>
      <c r="AJ49" s="32" t="s">
        <v>6</v>
      </c>
      <c r="AK49" s="28"/>
      <c r="AL49" s="28"/>
      <c r="AM49" s="33">
        <f>(AE18*AG18*AI49)</f>
        <v>9709200</v>
      </c>
    </row>
    <row r="50" spans="1:39" ht="11.1" customHeight="1">
      <c r="A50" s="29">
        <f>A19</f>
        <v>45</v>
      </c>
      <c r="B50" s="30" t="s">
        <v>105</v>
      </c>
      <c r="C50" s="28"/>
      <c r="D50" s="32"/>
      <c r="E50" s="18">
        <f>Assumptions!$G$26</f>
        <v>899</v>
      </c>
      <c r="F50" s="32" t="s">
        <v>6</v>
      </c>
      <c r="G50" s="28"/>
      <c r="H50" s="28"/>
      <c r="I50" s="33">
        <f>(A19*C19*E50)</f>
        <v>6068250</v>
      </c>
      <c r="K50" s="29">
        <f>K19</f>
        <v>40</v>
      </c>
      <c r="L50" s="30" t="s">
        <v>105</v>
      </c>
      <c r="M50" s="28"/>
      <c r="N50" s="32"/>
      <c r="O50" s="18">
        <f>Assumptions!$G$26</f>
        <v>899</v>
      </c>
      <c r="P50" s="32" t="s">
        <v>6</v>
      </c>
      <c r="Q50" s="28"/>
      <c r="R50" s="28"/>
      <c r="S50" s="33">
        <f>(K19*M19*O50)</f>
        <v>5394000</v>
      </c>
      <c r="U50" s="29">
        <f>U19</f>
        <v>35</v>
      </c>
      <c r="V50" s="30" t="s">
        <v>105</v>
      </c>
      <c r="W50" s="28"/>
      <c r="X50" s="32"/>
      <c r="Y50" s="18">
        <f>Assumptions!$G$26</f>
        <v>899</v>
      </c>
      <c r="Z50" s="32" t="s">
        <v>6</v>
      </c>
      <c r="AA50" s="28"/>
      <c r="AB50" s="28"/>
      <c r="AC50" s="33">
        <f>(U19*W19*Y50)</f>
        <v>4719750</v>
      </c>
      <c r="AE50" s="29">
        <f>AE19</f>
        <v>30</v>
      </c>
      <c r="AF50" s="30" t="s">
        <v>105</v>
      </c>
      <c r="AG50" s="28"/>
      <c r="AH50" s="32"/>
      <c r="AI50" s="18">
        <f>Assumptions!$G$26</f>
        <v>899</v>
      </c>
      <c r="AJ50" s="32" t="s">
        <v>6</v>
      </c>
      <c r="AK50" s="28"/>
      <c r="AL50" s="28"/>
      <c r="AM50" s="33">
        <f>(AE19*AG19*AI50)</f>
        <v>4045500</v>
      </c>
    </row>
    <row r="51" spans="1:39" ht="11.1" customHeight="1">
      <c r="A51" s="38">
        <f>SUM(A46:A50)</f>
        <v>500</v>
      </c>
      <c r="B51" s="26"/>
      <c r="C51" s="47">
        <f>SUM(A46*C46*G46)+(A47*C47)+(A48*C48)+(A49*C49)+(A50*C50)</f>
        <v>0</v>
      </c>
      <c r="D51" s="34" t="s">
        <v>106</v>
      </c>
      <c r="E51" s="26"/>
      <c r="F51" s="34"/>
      <c r="G51" s="26"/>
      <c r="H51" s="26"/>
      <c r="I51" s="40"/>
      <c r="K51" s="38">
        <f>SUM(K46:K50)</f>
        <v>500</v>
      </c>
      <c r="L51" s="26"/>
      <c r="M51" s="47">
        <f>SUM(K46*M46*Q46)+(K47*M47)+(K48*M48)+(K49*M49)+(K50*M50)</f>
        <v>0</v>
      </c>
      <c r="N51" s="34" t="s">
        <v>106</v>
      </c>
      <c r="O51" s="26"/>
      <c r="P51" s="34"/>
      <c r="Q51" s="26"/>
      <c r="R51" s="26"/>
      <c r="S51" s="40"/>
      <c r="U51" s="38">
        <f>SUM(U46:U50)</f>
        <v>500</v>
      </c>
      <c r="V51" s="26"/>
      <c r="W51" s="47">
        <f>SUM(U46*W46*AA46)+(U47*W47)+(U48*W48)+(U49*W49)+(U50*W50)</f>
        <v>0</v>
      </c>
      <c r="X51" s="34" t="s">
        <v>106</v>
      </c>
      <c r="Y51" s="26"/>
      <c r="Z51" s="34"/>
      <c r="AA51" s="26"/>
      <c r="AB51" s="26"/>
      <c r="AC51" s="40"/>
      <c r="AE51" s="38">
        <f>SUM(AE46:AE50)</f>
        <v>500</v>
      </c>
      <c r="AF51" s="26"/>
      <c r="AG51" s="47">
        <f>SUM(AE46*AG46*AK46)+(AE47*AG47)+(AE48*AG48)+(AE49*AG49)+(AE50*AG50)</f>
        <v>0</v>
      </c>
      <c r="AH51" s="34" t="s">
        <v>106</v>
      </c>
      <c r="AI51" s="26"/>
      <c r="AJ51" s="34"/>
      <c r="AK51" s="26"/>
      <c r="AL51" s="26"/>
      <c r="AM51" s="40"/>
    </row>
    <row r="52" spans="1:39" ht="11.1" customHeight="1">
      <c r="A52" s="17" t="s">
        <v>137</v>
      </c>
      <c r="B52" s="4"/>
      <c r="E52" s="71">
        <f>IF(E40&lt;25000,0,IF(E40&gt;25000,(E40*Assumptions!$D$211)))</f>
        <v>0</v>
      </c>
      <c r="F52" s="48" t="s">
        <v>138</v>
      </c>
      <c r="I52" s="33">
        <f>D10*E52</f>
        <v>0</v>
      </c>
      <c r="K52" s="17" t="s">
        <v>137</v>
      </c>
      <c r="L52" s="4"/>
      <c r="O52" s="71">
        <f>IF(O40&lt;25000,0,IF(O40&gt;25000,(O40*Assumptions!$D$211)))</f>
        <v>0</v>
      </c>
      <c r="P52" s="48" t="s">
        <v>138</v>
      </c>
      <c r="S52" s="33">
        <f>N10*O52</f>
        <v>0</v>
      </c>
      <c r="U52" s="17" t="s">
        <v>137</v>
      </c>
      <c r="V52" s="4"/>
      <c r="Y52" s="71">
        <f>IF(Y40&lt;25000,0,IF(Y40&gt;25000,(Y40*Assumptions!$D$211)))</f>
        <v>0</v>
      </c>
      <c r="Z52" s="48" t="s">
        <v>138</v>
      </c>
      <c r="AC52" s="33">
        <f>X10*Y52</f>
        <v>0</v>
      </c>
      <c r="AE52" s="17" t="s">
        <v>137</v>
      </c>
      <c r="AF52" s="4"/>
      <c r="AI52" s="71">
        <f>IF(AI40&lt;25000,0,IF(AI40&gt;25000,(AI40*Assumptions!$D$211)))</f>
        <v>0</v>
      </c>
      <c r="AJ52" s="48" t="s">
        <v>138</v>
      </c>
      <c r="AM52" s="33">
        <f>AH10*AI52</f>
        <v>0</v>
      </c>
    </row>
    <row r="53" spans="1:39" ht="11.1" customHeight="1">
      <c r="A53" s="17" t="s">
        <v>119</v>
      </c>
      <c r="B53" s="17"/>
      <c r="C53" s="49"/>
      <c r="D53" s="28"/>
      <c r="E53" s="73">
        <f>Assumptions!$E$44</f>
        <v>0.08</v>
      </c>
      <c r="F53" s="32" t="s">
        <v>14</v>
      </c>
      <c r="G53" s="28"/>
      <c r="H53" s="28"/>
      <c r="I53" s="33">
        <f>SUM(I46:I50)*E53</f>
        <v>3585571.6</v>
      </c>
      <c r="K53" s="17" t="s">
        <v>119</v>
      </c>
      <c r="L53" s="17"/>
      <c r="M53" s="49"/>
      <c r="N53" s="28"/>
      <c r="O53" s="73">
        <f>Assumptions!$E$44</f>
        <v>0.08</v>
      </c>
      <c r="P53" s="32" t="s">
        <v>14</v>
      </c>
      <c r="Q53" s="28"/>
      <c r="R53" s="28"/>
      <c r="S53" s="33">
        <f>SUM(S46:S50)*O53</f>
        <v>3531991.2</v>
      </c>
      <c r="U53" s="17" t="s">
        <v>119</v>
      </c>
      <c r="V53" s="17"/>
      <c r="W53" s="49"/>
      <c r="X53" s="28"/>
      <c r="Y53" s="73">
        <f>Assumptions!$E$44</f>
        <v>0.08</v>
      </c>
      <c r="Z53" s="32" t="s">
        <v>14</v>
      </c>
      <c r="AA53" s="28"/>
      <c r="AB53" s="28"/>
      <c r="AC53" s="33">
        <f>SUM(AC46:AC50)*Y53</f>
        <v>3478410.8000000003</v>
      </c>
      <c r="AE53" s="17" t="s">
        <v>119</v>
      </c>
      <c r="AF53" s="17"/>
      <c r="AG53" s="49"/>
      <c r="AH53" s="28"/>
      <c r="AI53" s="73">
        <f>Assumptions!$E$44</f>
        <v>0.08</v>
      </c>
      <c r="AJ53" s="32" t="s">
        <v>14</v>
      </c>
      <c r="AK53" s="28"/>
      <c r="AL53" s="28"/>
      <c r="AM53" s="33">
        <f>SUM(AM46:AM50)*AI53</f>
        <v>3424830.4</v>
      </c>
    </row>
    <row r="54" spans="1:39" ht="11.1" customHeight="1">
      <c r="A54" s="17" t="s">
        <v>15</v>
      </c>
      <c r="B54" s="17"/>
      <c r="C54" s="49"/>
      <c r="D54" s="28"/>
      <c r="E54" s="73">
        <f>Assumptions!$E$45</f>
        <v>0.005</v>
      </c>
      <c r="F54" s="32" t="s">
        <v>16</v>
      </c>
      <c r="G54" s="28"/>
      <c r="H54" s="28"/>
      <c r="I54" s="33">
        <f>I36*E54</f>
        <v>462935.175</v>
      </c>
      <c r="K54" s="17" t="s">
        <v>15</v>
      </c>
      <c r="L54" s="17"/>
      <c r="M54" s="49"/>
      <c r="N54" s="28"/>
      <c r="O54" s="73">
        <f>Assumptions!$E$45</f>
        <v>0.005</v>
      </c>
      <c r="P54" s="32" t="s">
        <v>16</v>
      </c>
      <c r="Q54" s="28"/>
      <c r="R54" s="28"/>
      <c r="S54" s="33">
        <f>S36*O54</f>
        <v>432822.4</v>
      </c>
      <c r="U54" s="17" t="s">
        <v>15</v>
      </c>
      <c r="V54" s="17"/>
      <c r="W54" s="49"/>
      <c r="X54" s="28"/>
      <c r="Y54" s="73">
        <f>Assumptions!$E$45</f>
        <v>0.005</v>
      </c>
      <c r="Z54" s="32" t="s">
        <v>16</v>
      </c>
      <c r="AA54" s="28"/>
      <c r="AB54" s="28"/>
      <c r="AC54" s="33">
        <f>AC36*Y54</f>
        <v>404695.8</v>
      </c>
      <c r="AE54" s="17" t="s">
        <v>15</v>
      </c>
      <c r="AF54" s="17"/>
      <c r="AG54" s="49"/>
      <c r="AH54" s="28"/>
      <c r="AI54" s="73">
        <f>Assumptions!$E$45</f>
        <v>0.005</v>
      </c>
      <c r="AJ54" s="32" t="s">
        <v>16</v>
      </c>
      <c r="AK54" s="28"/>
      <c r="AL54" s="28"/>
      <c r="AM54" s="33">
        <f>AM36*AI54</f>
        <v>400829.9</v>
      </c>
    </row>
    <row r="55" spans="1:39" ht="11.1" customHeight="1">
      <c r="A55" s="17" t="s">
        <v>17</v>
      </c>
      <c r="B55" s="17"/>
      <c r="C55" s="49"/>
      <c r="D55" s="28"/>
      <c r="E55" s="73">
        <f>Assumptions!$E$46</f>
        <v>0.011</v>
      </c>
      <c r="F55" s="32" t="s">
        <v>14</v>
      </c>
      <c r="G55" s="28"/>
      <c r="H55" s="28"/>
      <c r="I55" s="33">
        <f>SUM(I46:I50)*E55</f>
        <v>493016.095</v>
      </c>
      <c r="K55" s="17" t="s">
        <v>17</v>
      </c>
      <c r="L55" s="17"/>
      <c r="M55" s="49"/>
      <c r="N55" s="28"/>
      <c r="O55" s="73">
        <f>Assumptions!$E$46</f>
        <v>0.011</v>
      </c>
      <c r="P55" s="32" t="s">
        <v>14</v>
      </c>
      <c r="Q55" s="28"/>
      <c r="R55" s="28"/>
      <c r="S55" s="33">
        <f>SUM(S46:S50)*O55</f>
        <v>485648.79</v>
      </c>
      <c r="U55" s="17" t="s">
        <v>17</v>
      </c>
      <c r="V55" s="17"/>
      <c r="W55" s="49"/>
      <c r="X55" s="28"/>
      <c r="Y55" s="73">
        <f>Assumptions!$E$46</f>
        <v>0.011</v>
      </c>
      <c r="Z55" s="32" t="s">
        <v>14</v>
      </c>
      <c r="AA55" s="28"/>
      <c r="AB55" s="28"/>
      <c r="AC55" s="33">
        <f>SUM(AC46:AC50)*Y55</f>
        <v>478281.485</v>
      </c>
      <c r="AE55" s="17" t="s">
        <v>17</v>
      </c>
      <c r="AF55" s="17"/>
      <c r="AG55" s="49"/>
      <c r="AH55" s="28"/>
      <c r="AI55" s="73">
        <f>Assumptions!$E$46</f>
        <v>0.011</v>
      </c>
      <c r="AJ55" s="32" t="s">
        <v>14</v>
      </c>
      <c r="AK55" s="28"/>
      <c r="AL55" s="28"/>
      <c r="AM55" s="33">
        <f>SUM(AM46:AM50)*AI55</f>
        <v>470914.18</v>
      </c>
    </row>
    <row r="56" spans="1:39" ht="11.1" customHeight="1">
      <c r="A56" s="17" t="s">
        <v>18</v>
      </c>
      <c r="B56" s="17"/>
      <c r="C56" s="49"/>
      <c r="D56" s="28"/>
      <c r="E56" s="73">
        <f>Assumptions!$E$47</f>
        <v>0.02</v>
      </c>
      <c r="F56" s="32" t="s">
        <v>50</v>
      </c>
      <c r="G56" s="28"/>
      <c r="H56" s="28"/>
      <c r="I56" s="33">
        <f>SUM(I15:I19)*E56</f>
        <v>1776060</v>
      </c>
      <c r="K56" s="17" t="s">
        <v>18</v>
      </c>
      <c r="L56" s="17"/>
      <c r="M56" s="49"/>
      <c r="N56" s="28"/>
      <c r="O56" s="73">
        <f>Assumptions!$E$47</f>
        <v>0.02</v>
      </c>
      <c r="P56" s="32" t="s">
        <v>50</v>
      </c>
      <c r="Q56" s="28"/>
      <c r="R56" s="28"/>
      <c r="S56" s="33">
        <f>SUM(S15:S19)*O56</f>
        <v>1578720</v>
      </c>
      <c r="U56" s="17" t="s">
        <v>18</v>
      </c>
      <c r="V56" s="17"/>
      <c r="W56" s="49"/>
      <c r="X56" s="28"/>
      <c r="Y56" s="73">
        <f>Assumptions!$E$47</f>
        <v>0.02</v>
      </c>
      <c r="Z56" s="32" t="s">
        <v>50</v>
      </c>
      <c r="AA56" s="28"/>
      <c r="AB56" s="28"/>
      <c r="AC56" s="33">
        <f>SUM(AC15:AC19)*Y56</f>
        <v>1381380</v>
      </c>
      <c r="AE56" s="17" t="s">
        <v>18</v>
      </c>
      <c r="AF56" s="17"/>
      <c r="AG56" s="49"/>
      <c r="AH56" s="28"/>
      <c r="AI56" s="73">
        <f>Assumptions!$E$47</f>
        <v>0.02</v>
      </c>
      <c r="AJ56" s="32" t="s">
        <v>50</v>
      </c>
      <c r="AK56" s="28"/>
      <c r="AL56" s="28"/>
      <c r="AM56" s="33">
        <f>SUM(AM15:AM19)*AI56</f>
        <v>1244760</v>
      </c>
    </row>
    <row r="57" spans="1:39" ht="11.1" customHeight="1">
      <c r="A57" s="17" t="s">
        <v>19</v>
      </c>
      <c r="B57" s="17"/>
      <c r="C57" s="50"/>
      <c r="D57" s="28"/>
      <c r="E57" s="73">
        <f>Assumptions!$E$48</f>
        <v>0.05</v>
      </c>
      <c r="F57" s="32" t="s">
        <v>14</v>
      </c>
      <c r="G57" s="28"/>
      <c r="H57" s="28"/>
      <c r="I57" s="33">
        <f>SUM(I46:I52)*E57</f>
        <v>2240982.25</v>
      </c>
      <c r="K57" s="17" t="s">
        <v>19</v>
      </c>
      <c r="L57" s="17"/>
      <c r="M57" s="50"/>
      <c r="N57" s="28"/>
      <c r="O57" s="73">
        <f>Assumptions!$E$48</f>
        <v>0.05</v>
      </c>
      <c r="P57" s="32" t="s">
        <v>14</v>
      </c>
      <c r="Q57" s="28"/>
      <c r="R57" s="28"/>
      <c r="S57" s="33">
        <f>SUM(S46:S52)*O57</f>
        <v>2207494.5</v>
      </c>
      <c r="U57" s="17" t="s">
        <v>19</v>
      </c>
      <c r="V57" s="17"/>
      <c r="W57" s="50"/>
      <c r="X57" s="28"/>
      <c r="Y57" s="73">
        <f>Assumptions!$E$48</f>
        <v>0.05</v>
      </c>
      <c r="Z57" s="32" t="s">
        <v>14</v>
      </c>
      <c r="AA57" s="28"/>
      <c r="AB57" s="28"/>
      <c r="AC57" s="33">
        <f>SUM(AC46:AC52)*Y57</f>
        <v>2174006.75</v>
      </c>
      <c r="AE57" s="17" t="s">
        <v>19</v>
      </c>
      <c r="AF57" s="17"/>
      <c r="AG57" s="50"/>
      <c r="AH57" s="28"/>
      <c r="AI57" s="73">
        <f>Assumptions!$E$48</f>
        <v>0.05</v>
      </c>
      <c r="AJ57" s="32" t="s">
        <v>14</v>
      </c>
      <c r="AK57" s="28"/>
      <c r="AL57" s="28"/>
      <c r="AM57" s="33">
        <f>SUM(AM46:AM52)*AI57</f>
        <v>2140519</v>
      </c>
    </row>
    <row r="58" spans="1:39" ht="11.1" customHeight="1">
      <c r="A58" s="17" t="s">
        <v>20</v>
      </c>
      <c r="B58" s="4"/>
      <c r="C58" s="13"/>
      <c r="E58" s="74">
        <f>Assumptions!$E$49</f>
        <v>4000</v>
      </c>
      <c r="F58" s="32" t="s">
        <v>51</v>
      </c>
      <c r="I58" s="36">
        <f>A35*E58</f>
        <v>2000000</v>
      </c>
      <c r="K58" s="17" t="s">
        <v>20</v>
      </c>
      <c r="L58" s="4"/>
      <c r="M58" s="13"/>
      <c r="O58" s="74">
        <f>Assumptions!$E$49</f>
        <v>4000</v>
      </c>
      <c r="P58" s="32" t="s">
        <v>51</v>
      </c>
      <c r="S58" s="36">
        <f>K35*O58</f>
        <v>2000000</v>
      </c>
      <c r="U58" s="17" t="s">
        <v>20</v>
      </c>
      <c r="V58" s="4"/>
      <c r="W58" s="13"/>
      <c r="Y58" s="74">
        <f>Assumptions!$E$49</f>
        <v>4000</v>
      </c>
      <c r="Z58" s="32" t="s">
        <v>51</v>
      </c>
      <c r="AC58" s="36">
        <f>U35*Y58</f>
        <v>2000000</v>
      </c>
      <c r="AE58" s="17" t="s">
        <v>20</v>
      </c>
      <c r="AF58" s="4"/>
      <c r="AG58" s="13"/>
      <c r="AI58" s="74">
        <f>Assumptions!$E$49</f>
        <v>4000</v>
      </c>
      <c r="AJ58" s="32" t="s">
        <v>51</v>
      </c>
      <c r="AM58" s="36">
        <f>AE35*AI58</f>
        <v>2000000</v>
      </c>
    </row>
    <row r="59" spans="1:39" ht="11.1" customHeight="1">
      <c r="A59" s="17" t="s">
        <v>121</v>
      </c>
      <c r="B59" s="17"/>
      <c r="C59" s="45">
        <f>Assumptions!$C$50</f>
        <v>0.05</v>
      </c>
      <c r="D59" s="72">
        <f>Assumptions!$D$50</f>
        <v>12</v>
      </c>
      <c r="E59" s="32" t="s">
        <v>22</v>
      </c>
      <c r="F59" s="28"/>
      <c r="G59" s="71">
        <f>Assumptions!$G$50</f>
        <v>6</v>
      </c>
      <c r="H59" s="32" t="s">
        <v>110</v>
      </c>
      <c r="I59" s="33">
        <f>(((SUM(I39:I44)*POWER((1+C59/12),((D59+G59)/12)*12))-SUM(I39:I44))      +           ((((SUM(I46:I58)*POWER((1+C59/12),((D59+G59)/12)*12))-SUM(I46:I58))*0.5)))</f>
        <v>2926824.3355798349</v>
      </c>
      <c r="K59" s="17" t="s">
        <v>121</v>
      </c>
      <c r="L59" s="17"/>
      <c r="M59" s="45">
        <f>Assumptions!$C$50</f>
        <v>0.05</v>
      </c>
      <c r="N59" s="72">
        <f>Assumptions!$D$50</f>
        <v>12</v>
      </c>
      <c r="O59" s="32" t="s">
        <v>22</v>
      </c>
      <c r="P59" s="28"/>
      <c r="Q59" s="71">
        <f>Assumptions!$G$50</f>
        <v>6</v>
      </c>
      <c r="R59" s="32" t="s">
        <v>110</v>
      </c>
      <c r="S59" s="33">
        <f>(((SUM(S39:S44)*POWER((1+M59/12),((N59+Q59)/12)*12))-SUM(S39:S44))      +           ((((SUM(S46:S58)*POWER((1+M59/12),((N59+Q59)/12)*12))-SUM(S46:S58))*0.5)))</f>
        <v>2794763.9496812187</v>
      </c>
      <c r="U59" s="17" t="s">
        <v>121</v>
      </c>
      <c r="V59" s="17"/>
      <c r="W59" s="45">
        <f>Assumptions!$C$50</f>
        <v>0.05</v>
      </c>
      <c r="X59" s="72">
        <f>Assumptions!$D$50</f>
        <v>12</v>
      </c>
      <c r="Y59" s="32" t="s">
        <v>22</v>
      </c>
      <c r="Z59" s="28"/>
      <c r="AA59" s="71">
        <f>Assumptions!$G$50</f>
        <v>6</v>
      </c>
      <c r="AB59" s="32" t="s">
        <v>110</v>
      </c>
      <c r="AC59" s="33">
        <f>(((SUM(AC39:AC44)*POWER((1+W59/12),((X59+AA59)/12)*12))-SUM(AC39:AC44))      +           ((((SUM(AC46:AC58)*POWER((1+W59/12),((X59+AA59)/12)*12))-SUM(AC46:AC58))*0.5)))</f>
        <v>2671132.1268083816</v>
      </c>
      <c r="AE59" s="17" t="s">
        <v>121</v>
      </c>
      <c r="AF59" s="17"/>
      <c r="AG59" s="45">
        <f>Assumptions!$C$50</f>
        <v>0.05</v>
      </c>
      <c r="AH59" s="72">
        <f>Assumptions!$D$50</f>
        <v>12</v>
      </c>
      <c r="AI59" s="32" t="s">
        <v>22</v>
      </c>
      <c r="AJ59" s="28"/>
      <c r="AK59" s="71">
        <f>Assumptions!$G$50</f>
        <v>6</v>
      </c>
      <c r="AL59" s="32" t="s">
        <v>110</v>
      </c>
      <c r="AM59" s="33">
        <f>(((SUM(AM39:AM44)*POWER((1+AG59/12),((AH59+AK59)/12)*12))-SUM(AM39:AM44))      +           ((((SUM(AM46:AM58)*POWER((1+AG59/12),((AH59+AK59)/12)*12))-SUM(AM46:AM58))*0.5)))</f>
        <v>2646450.2122538127</v>
      </c>
    </row>
    <row r="60" spans="1:39" ht="11.1" customHeight="1">
      <c r="A60" s="17" t="s">
        <v>23</v>
      </c>
      <c r="B60" s="17"/>
      <c r="C60" s="45">
        <f>Assumptions!$C$51</f>
        <v>0</v>
      </c>
      <c r="D60" s="32" t="s">
        <v>24</v>
      </c>
      <c r="E60" s="28"/>
      <c r="F60" s="28"/>
      <c r="G60" s="28"/>
      <c r="H60" s="28"/>
      <c r="I60" s="33">
        <f>SUM(I39:I57)*C60</f>
        <v>0</v>
      </c>
      <c r="K60" s="17" t="s">
        <v>23</v>
      </c>
      <c r="L60" s="17"/>
      <c r="M60" s="45">
        <f>Assumptions!$C$51</f>
        <v>0</v>
      </c>
      <c r="N60" s="32" t="s">
        <v>24</v>
      </c>
      <c r="O60" s="28"/>
      <c r="P60" s="28"/>
      <c r="Q60" s="28"/>
      <c r="R60" s="28"/>
      <c r="S60" s="33">
        <f>SUM(S39:S57)*M60</f>
        <v>0</v>
      </c>
      <c r="U60" s="17" t="s">
        <v>23</v>
      </c>
      <c r="V60" s="17"/>
      <c r="W60" s="45">
        <f>Assumptions!$C$51</f>
        <v>0</v>
      </c>
      <c r="X60" s="32" t="s">
        <v>24</v>
      </c>
      <c r="Y60" s="28"/>
      <c r="Z60" s="28"/>
      <c r="AA60" s="28"/>
      <c r="AB60" s="28"/>
      <c r="AC60" s="33">
        <f>SUM(AC39:AC57)*W60</f>
        <v>0</v>
      </c>
      <c r="AE60" s="17" t="s">
        <v>23</v>
      </c>
      <c r="AF60" s="17"/>
      <c r="AG60" s="45">
        <f>Assumptions!$C$51</f>
        <v>0</v>
      </c>
      <c r="AH60" s="32" t="s">
        <v>24</v>
      </c>
      <c r="AI60" s="28"/>
      <c r="AJ60" s="28"/>
      <c r="AK60" s="28"/>
      <c r="AL60" s="28"/>
      <c r="AM60" s="33">
        <f>SUM(AM39:AM57)*AG60</f>
        <v>0</v>
      </c>
    </row>
    <row r="61" spans="1:39" ht="11.1" customHeight="1">
      <c r="A61" s="17" t="s">
        <v>25</v>
      </c>
      <c r="B61" s="17"/>
      <c r="C61" s="155" t="s">
        <v>155</v>
      </c>
      <c r="D61" s="45">
        <f>Assumptions!$D$52</f>
        <v>0.2</v>
      </c>
      <c r="E61" s="32" t="s">
        <v>26</v>
      </c>
      <c r="F61" s="155" t="s">
        <v>156</v>
      </c>
      <c r="G61" s="45">
        <f>Assumptions!$G$52</f>
        <v>0.06</v>
      </c>
      <c r="H61" s="32" t="s">
        <v>26</v>
      </c>
      <c r="I61" s="33">
        <f>SUM(I15:I19)*D61+SUM(I22:I34)*G61</f>
        <v>17987642.1</v>
      </c>
      <c r="K61" s="17" t="s">
        <v>25</v>
      </c>
      <c r="L61" s="17"/>
      <c r="M61" s="155" t="s">
        <v>155</v>
      </c>
      <c r="N61" s="45">
        <f>Assumptions!$D$52</f>
        <v>0.2</v>
      </c>
      <c r="O61" s="32" t="s">
        <v>26</v>
      </c>
      <c r="P61" s="155" t="s">
        <v>156</v>
      </c>
      <c r="Q61" s="45">
        <f>Assumptions!$G$52</f>
        <v>0.06</v>
      </c>
      <c r="R61" s="32" t="s">
        <v>26</v>
      </c>
      <c r="S61" s="33">
        <f>SUM(S15:S19)*N61+SUM(S22:S34)*Q61</f>
        <v>16244908.8</v>
      </c>
      <c r="U61" s="17" t="s">
        <v>25</v>
      </c>
      <c r="V61" s="17"/>
      <c r="W61" s="155" t="s">
        <v>155</v>
      </c>
      <c r="X61" s="45">
        <f>Assumptions!$D$52</f>
        <v>0.2</v>
      </c>
      <c r="Y61" s="32" t="s">
        <v>26</v>
      </c>
      <c r="Z61" s="155" t="s">
        <v>156</v>
      </c>
      <c r="AA61" s="45">
        <f>Assumptions!$G$52</f>
        <v>0.06</v>
      </c>
      <c r="AB61" s="32" t="s">
        <v>26</v>
      </c>
      <c r="AC61" s="33">
        <f>SUM(AC15:AC19)*X61+SUM(AC22:AC34)*AA61</f>
        <v>14526009.6</v>
      </c>
      <c r="AE61" s="17" t="s">
        <v>25</v>
      </c>
      <c r="AF61" s="17"/>
      <c r="AG61" s="155" t="s">
        <v>155</v>
      </c>
      <c r="AH61" s="45">
        <f>Assumptions!$D$52</f>
        <v>0.2</v>
      </c>
      <c r="AI61" s="32" t="s">
        <v>26</v>
      </c>
      <c r="AJ61" s="155" t="s">
        <v>156</v>
      </c>
      <c r="AK61" s="45">
        <f>Assumptions!$G$52</f>
        <v>0.06</v>
      </c>
      <c r="AL61" s="32" t="s">
        <v>26</v>
      </c>
      <c r="AM61" s="33">
        <f>SUM(AM15:AM19)*AH61+SUM(AM22:AM34)*AK61</f>
        <v>13523278.8</v>
      </c>
    </row>
    <row r="62" spans="1:39" ht="11.1" customHeight="1">
      <c r="A62" s="26"/>
      <c r="B62" s="26"/>
      <c r="C62" s="26"/>
      <c r="D62" s="26"/>
      <c r="E62" s="26"/>
      <c r="F62" s="26"/>
      <c r="G62" s="26"/>
      <c r="H62" s="26"/>
      <c r="I62" s="40"/>
      <c r="K62" s="26"/>
      <c r="L62" s="26"/>
      <c r="M62" s="26"/>
      <c r="N62" s="26"/>
      <c r="O62" s="26"/>
      <c r="P62" s="26"/>
      <c r="Q62" s="26"/>
      <c r="R62" s="26"/>
      <c r="S62" s="40"/>
      <c r="U62" s="26"/>
      <c r="V62" s="26"/>
      <c r="W62" s="26"/>
      <c r="X62" s="26"/>
      <c r="Y62" s="26"/>
      <c r="Z62" s="26"/>
      <c r="AA62" s="26"/>
      <c r="AB62" s="26"/>
      <c r="AC62" s="40"/>
      <c r="AE62" s="26"/>
      <c r="AF62" s="26"/>
      <c r="AG62" s="26"/>
      <c r="AH62" s="26"/>
      <c r="AI62" s="26"/>
      <c r="AJ62" s="26"/>
      <c r="AK62" s="26"/>
      <c r="AL62" s="26"/>
      <c r="AM62" s="40"/>
    </row>
    <row r="63" spans="1:39" ht="11.1" customHeight="1">
      <c r="A63" s="25" t="s">
        <v>27</v>
      </c>
      <c r="B63" s="26"/>
      <c r="C63" s="26"/>
      <c r="D63" s="26"/>
      <c r="E63" s="26"/>
      <c r="F63" s="26"/>
      <c r="G63" s="26"/>
      <c r="H63" s="26"/>
      <c r="I63" s="42">
        <f>SUM(I39:I62)</f>
        <v>86263981.080579817</v>
      </c>
      <c r="K63" s="25" t="s">
        <v>27</v>
      </c>
      <c r="L63" s="26"/>
      <c r="M63" s="26"/>
      <c r="N63" s="26"/>
      <c r="O63" s="26"/>
      <c r="P63" s="26"/>
      <c r="Q63" s="26"/>
      <c r="R63" s="26"/>
      <c r="S63" s="42">
        <f>SUM(S39:S62)</f>
        <v>82194101.439681217</v>
      </c>
      <c r="U63" s="25" t="s">
        <v>27</v>
      </c>
      <c r="V63" s="26"/>
      <c r="W63" s="26"/>
      <c r="X63" s="26"/>
      <c r="Y63" s="26"/>
      <c r="Z63" s="26"/>
      <c r="AA63" s="26"/>
      <c r="AB63" s="26"/>
      <c r="AC63" s="42">
        <f>SUM(AC39:AC62)</f>
        <v>78265930.63680838</v>
      </c>
      <c r="AE63" s="25" t="s">
        <v>27</v>
      </c>
      <c r="AF63" s="26"/>
      <c r="AG63" s="26"/>
      <c r="AH63" s="26"/>
      <c r="AI63" s="26"/>
      <c r="AJ63" s="26"/>
      <c r="AK63" s="26"/>
      <c r="AL63" s="26"/>
      <c r="AM63" s="42">
        <f>SUM(AM39:AM62)</f>
        <v>76468589.447253808</v>
      </c>
    </row>
    <row r="64" spans="1:39" ht="11.1" customHeight="1">
      <c r="A64" s="28"/>
      <c r="B64" s="28"/>
      <c r="C64" s="28"/>
      <c r="D64" s="28"/>
      <c r="E64" s="28"/>
      <c r="F64" s="28"/>
      <c r="G64" s="28"/>
      <c r="H64" s="28"/>
      <c r="I64" s="51"/>
      <c r="K64" s="28"/>
      <c r="L64" s="28"/>
      <c r="M64" s="28"/>
      <c r="N64" s="28"/>
      <c r="O64" s="28"/>
      <c r="P64" s="28"/>
      <c r="Q64" s="28"/>
      <c r="R64" s="28"/>
      <c r="S64" s="51"/>
      <c r="U64" s="28"/>
      <c r="V64" s="28"/>
      <c r="W64" s="28"/>
      <c r="X64" s="28"/>
      <c r="Y64" s="28"/>
      <c r="Z64" s="28"/>
      <c r="AA64" s="28"/>
      <c r="AB64" s="28"/>
      <c r="AC64" s="51"/>
      <c r="AE64" s="28"/>
      <c r="AF64" s="28"/>
      <c r="AG64" s="28"/>
      <c r="AH64" s="28"/>
      <c r="AI64" s="28"/>
      <c r="AJ64" s="28"/>
      <c r="AK64" s="28"/>
      <c r="AL64" s="28"/>
      <c r="AM64" s="51"/>
    </row>
    <row r="65" spans="1:39" ht="11.1" customHeight="1">
      <c r="A65" s="52" t="s">
        <v>28</v>
      </c>
      <c r="B65" s="53"/>
      <c r="C65" s="53"/>
      <c r="D65" s="53"/>
      <c r="E65" s="53"/>
      <c r="F65" s="53"/>
      <c r="G65" s="53"/>
      <c r="H65" s="53"/>
      <c r="I65" s="54">
        <f>I36-I63</f>
        <v>6323053.9194201827</v>
      </c>
      <c r="K65" s="52" t="s">
        <v>28</v>
      </c>
      <c r="L65" s="53"/>
      <c r="M65" s="53"/>
      <c r="N65" s="53"/>
      <c r="O65" s="53"/>
      <c r="P65" s="53"/>
      <c r="Q65" s="53"/>
      <c r="R65" s="53"/>
      <c r="S65" s="54">
        <f>S36-S63</f>
        <v>4370378.5603187829</v>
      </c>
      <c r="U65" s="52" t="s">
        <v>28</v>
      </c>
      <c r="V65" s="53"/>
      <c r="W65" s="53"/>
      <c r="X65" s="53"/>
      <c r="Y65" s="53"/>
      <c r="Z65" s="53"/>
      <c r="AA65" s="53"/>
      <c r="AB65" s="53"/>
      <c r="AC65" s="54">
        <f>AC36-AC63</f>
        <v>2673229.3631916195</v>
      </c>
      <c r="AE65" s="52" t="s">
        <v>28</v>
      </c>
      <c r="AF65" s="53"/>
      <c r="AG65" s="53"/>
      <c r="AH65" s="53"/>
      <c r="AI65" s="53"/>
      <c r="AJ65" s="53"/>
      <c r="AK65" s="53"/>
      <c r="AL65" s="53"/>
      <c r="AM65" s="54">
        <f>AM36-AM63</f>
        <v>3697390.5527461916</v>
      </c>
    </row>
    <row r="66" spans="1:39" ht="11.1" customHeight="1">
      <c r="A66" s="52" t="s">
        <v>107</v>
      </c>
      <c r="B66" s="53"/>
      <c r="C66" s="53"/>
      <c r="D66" s="53"/>
      <c r="E66" s="53"/>
      <c r="F66" s="53"/>
      <c r="G66" s="53"/>
      <c r="H66" s="53"/>
      <c r="I66" s="54">
        <f>I65/D12</f>
        <v>138.84615545498863</v>
      </c>
      <c r="K66" s="52" t="s">
        <v>107</v>
      </c>
      <c r="L66" s="53"/>
      <c r="M66" s="53"/>
      <c r="N66" s="53"/>
      <c r="O66" s="53"/>
      <c r="P66" s="53"/>
      <c r="Q66" s="53"/>
      <c r="R66" s="53"/>
      <c r="S66" s="54">
        <f>S65/N12</f>
        <v>107.96389724107665</v>
      </c>
      <c r="U66" s="52" t="s">
        <v>107</v>
      </c>
      <c r="V66" s="53"/>
      <c r="W66" s="53"/>
      <c r="X66" s="53"/>
      <c r="Y66" s="53"/>
      <c r="Z66" s="53"/>
      <c r="AA66" s="53"/>
      <c r="AB66" s="53"/>
      <c r="AC66" s="54">
        <f>AC65/X12</f>
        <v>75.472314037030472</v>
      </c>
      <c r="AE66" s="52" t="s">
        <v>107</v>
      </c>
      <c r="AF66" s="53"/>
      <c r="AG66" s="53"/>
      <c r="AH66" s="53"/>
      <c r="AI66" s="53"/>
      <c r="AJ66" s="53"/>
      <c r="AK66" s="53"/>
      <c r="AL66" s="53"/>
      <c r="AM66" s="54">
        <f>AM65/AH12</f>
        <v>121.78493256739762</v>
      </c>
    </row>
    <row r="67" ht="11.1" customHeight="1"/>
    <row r="68" ht="11.1" customHeight="1"/>
    <row r="69" spans="1:39" ht="11.1" customHeight="1">
      <c r="A69" s="5"/>
      <c r="B69" s="14"/>
      <c r="C69" s="14"/>
      <c r="D69" s="15"/>
      <c r="E69" s="14"/>
      <c r="F69" s="14"/>
      <c r="G69" s="14"/>
      <c r="H69" s="14"/>
      <c r="I69" s="14"/>
      <c r="K69" s="5"/>
      <c r="L69" s="14"/>
      <c r="M69" s="14"/>
      <c r="N69" s="15"/>
      <c r="O69" s="14"/>
      <c r="P69" s="14"/>
      <c r="Q69" s="14"/>
      <c r="R69" s="14"/>
      <c r="S69" s="14"/>
      <c r="U69" s="5"/>
      <c r="V69" s="14"/>
      <c r="W69" s="14"/>
      <c r="X69" s="15"/>
      <c r="Y69" s="14"/>
      <c r="Z69" s="14"/>
      <c r="AA69" s="14"/>
      <c r="AB69" s="14"/>
      <c r="AC69" s="14"/>
      <c r="AE69" s="5"/>
      <c r="AF69" s="14"/>
      <c r="AG69" s="14"/>
      <c r="AH69" s="15"/>
      <c r="AI69" s="14"/>
      <c r="AJ69" s="14"/>
      <c r="AK69" s="14"/>
      <c r="AL69" s="14"/>
      <c r="AM69" s="14"/>
    </row>
    <row r="70" spans="1:39" ht="11.1" customHeight="1">
      <c r="A70" s="5"/>
      <c r="B70" s="5"/>
      <c r="C70" s="5"/>
      <c r="D70" s="310" t="s">
        <v>79</v>
      </c>
      <c r="E70" s="310"/>
      <c r="F70" s="310"/>
      <c r="G70" s="310"/>
      <c r="H70" s="310"/>
      <c r="I70" s="310"/>
      <c r="K70" s="5"/>
      <c r="L70" s="5"/>
      <c r="M70" s="5"/>
      <c r="N70" s="310" t="s">
        <v>79</v>
      </c>
      <c r="O70" s="310"/>
      <c r="P70" s="310"/>
      <c r="Q70" s="310"/>
      <c r="R70" s="310"/>
      <c r="S70" s="310"/>
      <c r="U70" s="5"/>
      <c r="V70" s="5"/>
      <c r="W70" s="5"/>
      <c r="X70" s="310" t="s">
        <v>79</v>
      </c>
      <c r="Y70" s="310"/>
      <c r="Z70" s="310"/>
      <c r="AA70" s="310"/>
      <c r="AB70" s="310"/>
      <c r="AC70" s="310"/>
      <c r="AE70" s="5"/>
      <c r="AF70" s="5"/>
      <c r="AG70" s="5"/>
      <c r="AH70" s="310" t="s">
        <v>79</v>
      </c>
      <c r="AI70" s="310"/>
      <c r="AJ70" s="310"/>
      <c r="AK70" s="310"/>
      <c r="AL70" s="310"/>
      <c r="AM70" s="310"/>
    </row>
    <row r="71" spans="1:39" ht="11.1" customHeight="1">
      <c r="A71" s="5"/>
      <c r="B71" s="5"/>
      <c r="C71" s="5"/>
      <c r="D71" s="310"/>
      <c r="E71" s="310"/>
      <c r="F71" s="310"/>
      <c r="G71" s="310"/>
      <c r="H71" s="310"/>
      <c r="I71" s="310"/>
      <c r="K71" s="5"/>
      <c r="L71" s="5"/>
      <c r="M71" s="5"/>
      <c r="N71" s="310"/>
      <c r="O71" s="310"/>
      <c r="P71" s="310"/>
      <c r="Q71" s="310"/>
      <c r="R71" s="310"/>
      <c r="S71" s="310"/>
      <c r="U71" s="5"/>
      <c r="V71" s="5"/>
      <c r="W71" s="5"/>
      <c r="X71" s="310"/>
      <c r="Y71" s="310"/>
      <c r="Z71" s="310"/>
      <c r="AA71" s="310"/>
      <c r="AB71" s="310"/>
      <c r="AC71" s="310"/>
      <c r="AE71" s="5"/>
      <c r="AF71" s="5"/>
      <c r="AG71" s="5"/>
      <c r="AH71" s="310"/>
      <c r="AI71" s="310"/>
      <c r="AJ71" s="310"/>
      <c r="AK71" s="310"/>
      <c r="AL71" s="310"/>
      <c r="AM71" s="310"/>
    </row>
    <row r="72" spans="1:39" ht="11.1" customHeight="1">
      <c r="A72" s="5"/>
      <c r="B72" s="5"/>
      <c r="C72" s="5"/>
      <c r="D72" s="310"/>
      <c r="E72" s="310"/>
      <c r="F72" s="310"/>
      <c r="G72" s="310"/>
      <c r="H72" s="310"/>
      <c r="I72" s="310"/>
      <c r="K72" s="5"/>
      <c r="L72" s="5"/>
      <c r="M72" s="5"/>
      <c r="N72" s="310"/>
      <c r="O72" s="310"/>
      <c r="P72" s="310"/>
      <c r="Q72" s="310"/>
      <c r="R72" s="310"/>
      <c r="S72" s="310"/>
      <c r="U72" s="5"/>
      <c r="V72" s="5"/>
      <c r="W72" s="5"/>
      <c r="X72" s="310"/>
      <c r="Y72" s="310"/>
      <c r="Z72" s="310"/>
      <c r="AA72" s="310"/>
      <c r="AB72" s="310"/>
      <c r="AC72" s="310"/>
      <c r="AE72" s="5"/>
      <c r="AF72" s="5"/>
      <c r="AG72" s="5"/>
      <c r="AH72" s="310"/>
      <c r="AI72" s="310"/>
      <c r="AJ72" s="310"/>
      <c r="AK72" s="310"/>
      <c r="AL72" s="310"/>
      <c r="AM72" s="310"/>
    </row>
    <row r="73" spans="1:39" ht="11.1" customHeight="1">
      <c r="A73" s="5"/>
      <c r="B73" s="5"/>
      <c r="C73" s="5"/>
      <c r="D73" s="5"/>
      <c r="E73" s="5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U73" s="5"/>
      <c r="V73" s="5"/>
      <c r="W73" s="5"/>
      <c r="X73" s="5"/>
      <c r="Y73" s="5"/>
      <c r="Z73" s="5"/>
      <c r="AA73" s="5"/>
      <c r="AB73" s="5"/>
      <c r="AC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1.1" customHeight="1">
      <c r="A74" s="16" t="s">
        <v>0</v>
      </c>
      <c r="B74" s="16"/>
      <c r="C74" s="17"/>
      <c r="D74" s="80" t="str">
        <f>Assumptions!$B$78</f>
        <v>Large Scale Mixed Development</v>
      </c>
      <c r="E74" s="75"/>
      <c r="F74" s="75"/>
      <c r="G74" s="76"/>
      <c r="H74" s="30" t="s">
        <v>36</v>
      </c>
      <c r="I74" s="62">
        <f>Assumptions!$C$79</f>
        <v>0</v>
      </c>
      <c r="K74" s="16" t="s">
        <v>0</v>
      </c>
      <c r="L74" s="16"/>
      <c r="M74" s="17"/>
      <c r="N74" s="80" t="str">
        <f>Assumptions!$B$78</f>
        <v>Large Scale Mixed Development</v>
      </c>
      <c r="O74" s="75"/>
      <c r="P74" s="75"/>
      <c r="Q74" s="76"/>
      <c r="R74" s="30" t="s">
        <v>36</v>
      </c>
      <c r="S74" s="62">
        <f>Assumptions!$C$79</f>
        <v>0</v>
      </c>
      <c r="U74" s="16" t="s">
        <v>0</v>
      </c>
      <c r="V74" s="16"/>
      <c r="W74" s="17"/>
      <c r="X74" s="80" t="str">
        <f>Assumptions!$B$78</f>
        <v>Large Scale Mixed Development</v>
      </c>
      <c r="Y74" s="75"/>
      <c r="Z74" s="75"/>
      <c r="AA74" s="76"/>
      <c r="AB74" s="30" t="s">
        <v>36</v>
      </c>
      <c r="AC74" s="62">
        <f>Assumptions!$C$79</f>
        <v>0</v>
      </c>
      <c r="AE74" s="16" t="s">
        <v>0</v>
      </c>
      <c r="AF74" s="16"/>
      <c r="AG74" s="17"/>
      <c r="AH74" s="80" t="str">
        <f>Assumptions!$B$78</f>
        <v>Large Scale Mixed Development</v>
      </c>
      <c r="AI74" s="75"/>
      <c r="AJ74" s="75"/>
      <c r="AK74" s="76"/>
      <c r="AL74" s="30" t="s">
        <v>36</v>
      </c>
      <c r="AM74" s="62">
        <f>Assumptions!$C$79</f>
        <v>0</v>
      </c>
    </row>
    <row r="75" spans="1:39" ht="11.1" customHeight="1">
      <c r="A75" s="16" t="s">
        <v>1</v>
      </c>
      <c r="B75" s="17"/>
      <c r="C75" s="17"/>
      <c r="D75" s="80" t="str">
        <f>'Land Values'!$A$12</f>
        <v>Brownfield</v>
      </c>
      <c r="E75" s="75"/>
      <c r="F75" s="75"/>
      <c r="G75" s="77"/>
      <c r="H75" s="30" t="s">
        <v>37</v>
      </c>
      <c r="I75" s="62">
        <f>Assumptions!$C$80</f>
        <v>100</v>
      </c>
      <c r="K75" s="16" t="s">
        <v>1</v>
      </c>
      <c r="L75" s="17"/>
      <c r="M75" s="17"/>
      <c r="N75" s="80" t="str">
        <f>'Land Values'!$A$12</f>
        <v>Brownfield</v>
      </c>
      <c r="O75" s="75"/>
      <c r="P75" s="75"/>
      <c r="Q75" s="77"/>
      <c r="R75" s="30" t="s">
        <v>37</v>
      </c>
      <c r="S75" s="62">
        <f>Assumptions!$C$80</f>
        <v>100</v>
      </c>
      <c r="U75" s="16" t="s">
        <v>1</v>
      </c>
      <c r="V75" s="17"/>
      <c r="W75" s="17"/>
      <c r="X75" s="80" t="str">
        <f>'Land Values'!$A$12</f>
        <v>Brownfield</v>
      </c>
      <c r="Y75" s="75"/>
      <c r="Z75" s="75"/>
      <c r="AA75" s="77"/>
      <c r="AB75" s="30" t="s">
        <v>37</v>
      </c>
      <c r="AC75" s="62">
        <f>Assumptions!$C$80</f>
        <v>100</v>
      </c>
      <c r="AE75" s="16" t="s">
        <v>1</v>
      </c>
      <c r="AF75" s="17"/>
      <c r="AG75" s="17"/>
      <c r="AH75" s="80" t="str">
        <f>'Land Values'!$A$12</f>
        <v>Brownfield</v>
      </c>
      <c r="AI75" s="75"/>
      <c r="AJ75" s="75"/>
      <c r="AK75" s="77"/>
      <c r="AL75" s="30" t="s">
        <v>37</v>
      </c>
      <c r="AM75" s="62">
        <f>Assumptions!$C$80</f>
        <v>100</v>
      </c>
    </row>
    <row r="76" spans="1:39" ht="11.1" customHeight="1">
      <c r="A76" s="16" t="s">
        <v>2</v>
      </c>
      <c r="B76" s="16"/>
      <c r="C76" s="17"/>
      <c r="D76" s="81" t="str">
        <f>Assumptions!A13</f>
        <v>Malpas &amp; Bettws</v>
      </c>
      <c r="E76" s="78"/>
      <c r="F76" s="78"/>
      <c r="G76" s="79"/>
      <c r="H76" s="30" t="s">
        <v>38</v>
      </c>
      <c r="I76" s="62">
        <f>Assumptions!$C$81</f>
        <v>200</v>
      </c>
      <c r="K76" s="16" t="s">
        <v>2</v>
      </c>
      <c r="L76" s="16"/>
      <c r="M76" s="17"/>
      <c r="N76" s="275" t="str">
        <f>Assumptions!A14</f>
        <v>Newport East </v>
      </c>
      <c r="O76" s="276"/>
      <c r="P76" s="276"/>
      <c r="Q76" s="277"/>
      <c r="R76" s="30" t="s">
        <v>38</v>
      </c>
      <c r="S76" s="62">
        <f>Assumptions!$C$81</f>
        <v>200</v>
      </c>
      <c r="U76" s="16" t="s">
        <v>2</v>
      </c>
      <c r="V76" s="16"/>
      <c r="W76" s="17"/>
      <c r="X76" s="272" t="str">
        <f>Assumptions!A15</f>
        <v>Rog/Newport West </v>
      </c>
      <c r="Y76" s="273"/>
      <c r="Z76" s="273"/>
      <c r="AA76" s="274"/>
      <c r="AB76" s="30" t="s">
        <v>38</v>
      </c>
      <c r="AC76" s="62">
        <f>Assumptions!$C$81</f>
        <v>200</v>
      </c>
      <c r="AE76" s="16" t="s">
        <v>2</v>
      </c>
      <c r="AF76" s="16"/>
      <c r="AG76" s="17"/>
      <c r="AH76" s="269" t="str">
        <f>Assumptions!A16</f>
        <v>Caerleon/Rural</v>
      </c>
      <c r="AI76" s="270"/>
      <c r="AJ76" s="270"/>
      <c r="AK76" s="271"/>
      <c r="AL76" s="30" t="s">
        <v>38</v>
      </c>
      <c r="AM76" s="62">
        <f>Assumptions!$C$81</f>
        <v>200</v>
      </c>
    </row>
    <row r="77" spans="1:39" ht="11.1" customHeight="1">
      <c r="A77" s="16" t="s">
        <v>3</v>
      </c>
      <c r="B77" s="16"/>
      <c r="C77" s="17"/>
      <c r="D77" s="63">
        <f>SUM(I74:I78)</f>
        <v>500</v>
      </c>
      <c r="E77" s="55" t="s">
        <v>95</v>
      </c>
      <c r="F77" s="17"/>
      <c r="G77" s="19"/>
      <c r="H77" s="30" t="s">
        <v>39</v>
      </c>
      <c r="I77" s="62">
        <f>Assumptions!$C$82</f>
        <v>150</v>
      </c>
      <c r="K77" s="16" t="s">
        <v>3</v>
      </c>
      <c r="L77" s="16"/>
      <c r="M77" s="17"/>
      <c r="N77" s="63">
        <f>SUM(S74:S78)</f>
        <v>500</v>
      </c>
      <c r="O77" s="55" t="s">
        <v>95</v>
      </c>
      <c r="P77" s="17"/>
      <c r="Q77" s="19"/>
      <c r="R77" s="30" t="s">
        <v>39</v>
      </c>
      <c r="S77" s="62">
        <f>Assumptions!$C$82</f>
        <v>150</v>
      </c>
      <c r="U77" s="16" t="s">
        <v>3</v>
      </c>
      <c r="V77" s="16"/>
      <c r="W77" s="17"/>
      <c r="X77" s="63">
        <f>SUM(AC74:AC78)</f>
        <v>500</v>
      </c>
      <c r="Y77" s="55" t="s">
        <v>95</v>
      </c>
      <c r="Z77" s="17"/>
      <c r="AA77" s="19"/>
      <c r="AB77" s="30" t="s">
        <v>39</v>
      </c>
      <c r="AC77" s="62">
        <f>Assumptions!$C$82</f>
        <v>150</v>
      </c>
      <c r="AE77" s="16" t="s">
        <v>3</v>
      </c>
      <c r="AF77" s="16"/>
      <c r="AG77" s="17"/>
      <c r="AH77" s="63">
        <f>SUM(AM74:AM78)</f>
        <v>500</v>
      </c>
      <c r="AI77" s="55" t="s">
        <v>95</v>
      </c>
      <c r="AJ77" s="17"/>
      <c r="AK77" s="19"/>
      <c r="AL77" s="30" t="s">
        <v>39</v>
      </c>
      <c r="AM77" s="62">
        <f>Assumptions!$C$82</f>
        <v>150</v>
      </c>
    </row>
    <row r="78" spans="1:39" ht="11.1" customHeight="1">
      <c r="A78" s="16" t="s">
        <v>81</v>
      </c>
      <c r="B78" s="17"/>
      <c r="C78" s="22">
        <f>Assumptions!$C$13</f>
        <v>0.1</v>
      </c>
      <c r="D78" s="63">
        <f>D77*C78</f>
        <v>50</v>
      </c>
      <c r="E78" s="55" t="s">
        <v>83</v>
      </c>
      <c r="F78" s="19"/>
      <c r="G78" s="21"/>
      <c r="H78" s="30" t="s">
        <v>40</v>
      </c>
      <c r="I78" s="62">
        <f>Assumptions!$C$83</f>
        <v>50</v>
      </c>
      <c r="K78" s="16" t="s">
        <v>81</v>
      </c>
      <c r="L78" s="17"/>
      <c r="M78" s="22">
        <f>Assumptions!$C$14</f>
        <v>0.2</v>
      </c>
      <c r="N78" s="63">
        <f>N77*M78</f>
        <v>100</v>
      </c>
      <c r="O78" s="55" t="s">
        <v>83</v>
      </c>
      <c r="P78" s="19"/>
      <c r="Q78" s="21"/>
      <c r="R78" s="30" t="s">
        <v>40</v>
      </c>
      <c r="S78" s="62">
        <f>Assumptions!$C$83</f>
        <v>50</v>
      </c>
      <c r="U78" s="16" t="s">
        <v>81</v>
      </c>
      <c r="V78" s="17"/>
      <c r="W78" s="22">
        <f>Assumptions!$C$15</f>
        <v>0.3</v>
      </c>
      <c r="X78" s="63">
        <f>X77*W78</f>
        <v>150</v>
      </c>
      <c r="Y78" s="55" t="s">
        <v>83</v>
      </c>
      <c r="Z78" s="19"/>
      <c r="AA78" s="21"/>
      <c r="AB78" s="30" t="s">
        <v>40</v>
      </c>
      <c r="AC78" s="62">
        <f>Assumptions!$C$83</f>
        <v>50</v>
      </c>
      <c r="AE78" s="16" t="s">
        <v>81</v>
      </c>
      <c r="AF78" s="17"/>
      <c r="AG78" s="22">
        <f>Assumptions!$C$16</f>
        <v>0.4</v>
      </c>
      <c r="AH78" s="63">
        <f>AH77*AG78</f>
        <v>200</v>
      </c>
      <c r="AI78" s="55" t="s">
        <v>83</v>
      </c>
      <c r="AJ78" s="19"/>
      <c r="AK78" s="21"/>
      <c r="AL78" s="30" t="s">
        <v>40</v>
      </c>
      <c r="AM78" s="62">
        <f>Assumptions!$C$83</f>
        <v>50</v>
      </c>
    </row>
    <row r="79" spans="1:39" ht="11.1" customHeight="1">
      <c r="A79" s="16" t="s">
        <v>84</v>
      </c>
      <c r="B79" s="17"/>
      <c r="C79" s="64">
        <f>Assumptions!$D$13</f>
        <v>1</v>
      </c>
      <c r="D79" s="30" t="s">
        <v>33</v>
      </c>
      <c r="E79" s="22">
        <f>Assumptions!$E$13</f>
        <v>0</v>
      </c>
      <c r="F79" s="30" t="s">
        <v>34</v>
      </c>
      <c r="G79" s="65">
        <f>Assumptions!$F$13</f>
        <v>0</v>
      </c>
      <c r="H79" s="55" t="s">
        <v>35</v>
      </c>
      <c r="I79" s="11"/>
      <c r="K79" s="16" t="s">
        <v>84</v>
      </c>
      <c r="L79" s="17"/>
      <c r="M79" s="64">
        <f>Assumptions!$D$14</f>
        <v>1</v>
      </c>
      <c r="N79" s="30" t="s">
        <v>33</v>
      </c>
      <c r="O79" s="22">
        <f>Assumptions!$E$14</f>
        <v>0</v>
      </c>
      <c r="P79" s="30" t="s">
        <v>34</v>
      </c>
      <c r="Q79" s="65">
        <f>Assumptions!$F$14</f>
        <v>0</v>
      </c>
      <c r="R79" s="55" t="s">
        <v>35</v>
      </c>
      <c r="S79" s="11"/>
      <c r="U79" s="16" t="s">
        <v>84</v>
      </c>
      <c r="V79" s="17"/>
      <c r="W79" s="64">
        <f>Assumptions!$D$15</f>
        <v>1</v>
      </c>
      <c r="X79" s="30" t="s">
        <v>33</v>
      </c>
      <c r="Y79" s="22">
        <f>Assumptions!$E$15</f>
        <v>0</v>
      </c>
      <c r="Z79" s="30" t="s">
        <v>34</v>
      </c>
      <c r="AA79" s="65">
        <f>Assumptions!$F$15</f>
        <v>0</v>
      </c>
      <c r="AB79" s="55" t="s">
        <v>35</v>
      </c>
      <c r="AC79" s="11"/>
      <c r="AE79" s="16" t="s">
        <v>84</v>
      </c>
      <c r="AF79" s="17"/>
      <c r="AG79" s="64">
        <f>Assumptions!$D$16</f>
        <v>1</v>
      </c>
      <c r="AH79" s="30" t="s">
        <v>33</v>
      </c>
      <c r="AI79" s="22">
        <f>Assumptions!$E$16</f>
        <v>0</v>
      </c>
      <c r="AJ79" s="30" t="s">
        <v>34</v>
      </c>
      <c r="AK79" s="65">
        <f>Assumptions!$F$16</f>
        <v>0</v>
      </c>
      <c r="AL79" s="55" t="s">
        <v>35</v>
      </c>
      <c r="AM79" s="11"/>
    </row>
    <row r="80" spans="1:39" ht="11.1" customHeight="1">
      <c r="A80" s="16" t="s">
        <v>85</v>
      </c>
      <c r="B80" s="17"/>
      <c r="C80" s="17"/>
      <c r="D80" s="23">
        <f>(A83*C83)+(A84*C84)+(A85*C85)+(A86*C86)+(A87*C87)</f>
        <v>45540</v>
      </c>
      <c r="E80" s="55" t="s">
        <v>86</v>
      </c>
      <c r="F80" s="19"/>
      <c r="G80" s="24">
        <f>SUM(A90*C90)+(A91*C91)+(A92*C92)+(A95*C95)+(A96*C96)+(A97*C97)+(A100*C100)+(A101*C101)+(A102*C102)</f>
        <v>4315</v>
      </c>
      <c r="H80" s="30" t="s">
        <v>87</v>
      </c>
      <c r="I80" s="19"/>
      <c r="K80" s="16" t="s">
        <v>85</v>
      </c>
      <c r="L80" s="17"/>
      <c r="M80" s="17"/>
      <c r="N80" s="23">
        <f>(K83*M83)+(K84*M84)+(K85*M85)+(K86*M86)+(K87*M87)</f>
        <v>40480</v>
      </c>
      <c r="O80" s="55" t="s">
        <v>86</v>
      </c>
      <c r="P80" s="19"/>
      <c r="Q80" s="24">
        <f>SUM(K90*M90)+(K91*M91)+(K92*M92)+(K95*M95)+(K96*M96)+(K97*M97)+(K100*M100)+(K101*M101)+(K102*M102)</f>
        <v>8630</v>
      </c>
      <c r="R80" s="30" t="s">
        <v>87</v>
      </c>
      <c r="S80" s="19"/>
      <c r="U80" s="16" t="s">
        <v>85</v>
      </c>
      <c r="V80" s="17"/>
      <c r="W80" s="17"/>
      <c r="X80" s="23">
        <f>(U83*W83)+(U84*W84)+(U85*W85)+(U86*W86)+(U87*W87)</f>
        <v>35420</v>
      </c>
      <c r="Y80" s="55" t="s">
        <v>86</v>
      </c>
      <c r="Z80" s="19"/>
      <c r="AA80" s="24">
        <f>SUM(U90*W90)+(U91*W91)+(U92*W92)+(U95*W95)+(U96*W96)+(U97*W97)+(U100*W100)+(U101*W101)+(U102*W102)</f>
        <v>12945</v>
      </c>
      <c r="AB80" s="30" t="s">
        <v>87</v>
      </c>
      <c r="AC80" s="19"/>
      <c r="AE80" s="16" t="s">
        <v>85</v>
      </c>
      <c r="AF80" s="17"/>
      <c r="AG80" s="17"/>
      <c r="AH80" s="23">
        <f>(AE83*AG83)+(AE84*AG84)+(AE85*AG85)+(AE86*AG86)+(AE87*AG87)</f>
        <v>30360</v>
      </c>
      <c r="AI80" s="55" t="s">
        <v>86</v>
      </c>
      <c r="AJ80" s="19"/>
      <c r="AK80" s="24">
        <f>SUM(AE90*AG90)+(AE91*AG91)+(AE92*AG92)+(AE95*AG95)+(AE96*AG96)+(AE97*AG97)+(AE100*AG100)+(AE101*AG101)+(AE102*AG102)</f>
        <v>17260</v>
      </c>
      <c r="AL80" s="30" t="s">
        <v>87</v>
      </c>
      <c r="AM80" s="19"/>
    </row>
    <row r="81" spans="1:39" ht="11.1" customHeight="1">
      <c r="A81" s="25" t="s">
        <v>4</v>
      </c>
      <c r="B81" s="26"/>
      <c r="C81" s="26"/>
      <c r="D81" s="26"/>
      <c r="E81" s="26"/>
      <c r="F81" s="26"/>
      <c r="G81" s="26"/>
      <c r="H81" s="26"/>
      <c r="I81" s="27"/>
      <c r="K81" s="25" t="s">
        <v>4</v>
      </c>
      <c r="L81" s="26"/>
      <c r="M81" s="26"/>
      <c r="N81" s="26"/>
      <c r="O81" s="26"/>
      <c r="P81" s="26"/>
      <c r="Q81" s="26"/>
      <c r="R81" s="26"/>
      <c r="S81" s="27"/>
      <c r="U81" s="25" t="s">
        <v>4</v>
      </c>
      <c r="V81" s="26"/>
      <c r="W81" s="26"/>
      <c r="X81" s="26"/>
      <c r="Y81" s="26"/>
      <c r="Z81" s="26"/>
      <c r="AA81" s="26"/>
      <c r="AB81" s="26"/>
      <c r="AC81" s="27"/>
      <c r="AE81" s="25" t="s">
        <v>4</v>
      </c>
      <c r="AF81" s="26"/>
      <c r="AG81" s="26"/>
      <c r="AH81" s="26"/>
      <c r="AI81" s="26"/>
      <c r="AJ81" s="26"/>
      <c r="AK81" s="26"/>
      <c r="AL81" s="26"/>
      <c r="AM81" s="27"/>
    </row>
    <row r="82" spans="1:39" ht="11.1" customHeight="1">
      <c r="A82" s="17" t="s">
        <v>88</v>
      </c>
      <c r="B82" s="17"/>
      <c r="C82" s="28"/>
      <c r="D82" s="28"/>
      <c r="E82" s="28"/>
      <c r="F82" s="28"/>
      <c r="G82" s="28"/>
      <c r="H82" s="28"/>
      <c r="I82" s="19"/>
      <c r="K82" s="17" t="s">
        <v>88</v>
      </c>
      <c r="L82" s="17"/>
      <c r="M82" s="28"/>
      <c r="N82" s="28"/>
      <c r="O82" s="28"/>
      <c r="P82" s="28"/>
      <c r="Q82" s="28"/>
      <c r="R82" s="28"/>
      <c r="S82" s="19"/>
      <c r="U82" s="17" t="s">
        <v>88</v>
      </c>
      <c r="V82" s="17"/>
      <c r="W82" s="28"/>
      <c r="X82" s="28"/>
      <c r="Y82" s="28"/>
      <c r="Z82" s="28"/>
      <c r="AA82" s="28"/>
      <c r="AB82" s="28"/>
      <c r="AC82" s="19"/>
      <c r="AE82" s="17" t="s">
        <v>88</v>
      </c>
      <c r="AF82" s="17"/>
      <c r="AG82" s="28"/>
      <c r="AH82" s="28"/>
      <c r="AI82" s="28"/>
      <c r="AJ82" s="28"/>
      <c r="AK82" s="28"/>
      <c r="AL82" s="28"/>
      <c r="AM82" s="19"/>
    </row>
    <row r="83" spans="1:39" ht="11.1" customHeight="1">
      <c r="A83" s="29">
        <f>I74*(100%-C78)</f>
        <v>0</v>
      </c>
      <c r="B83" s="30" t="s">
        <v>36</v>
      </c>
      <c r="C83" s="31">
        <f>Assumptions!$B$22</f>
        <v>61</v>
      </c>
      <c r="D83" s="32" t="s">
        <v>5</v>
      </c>
      <c r="E83" s="18">
        <f>Assumptions!$C$32</f>
        <v>1950</v>
      </c>
      <c r="F83" s="32" t="s">
        <v>6</v>
      </c>
      <c r="G83" s="28"/>
      <c r="H83" s="28"/>
      <c r="I83" s="33">
        <f>A83*C83*E83</f>
        <v>0</v>
      </c>
      <c r="K83" s="29">
        <f>S74*(100%-M78)</f>
        <v>0</v>
      </c>
      <c r="L83" s="30" t="s">
        <v>36</v>
      </c>
      <c r="M83" s="31">
        <f>Assumptions!$B$22</f>
        <v>61</v>
      </c>
      <c r="N83" s="32" t="s">
        <v>5</v>
      </c>
      <c r="O83" s="18">
        <f>Assumptions!$C$33</f>
        <v>1950</v>
      </c>
      <c r="P83" s="32" t="s">
        <v>6</v>
      </c>
      <c r="Q83" s="28"/>
      <c r="R83" s="28"/>
      <c r="S83" s="33">
        <f>K83*M83*O83</f>
        <v>0</v>
      </c>
      <c r="U83" s="29">
        <f>AC74*(100%-W78)</f>
        <v>0</v>
      </c>
      <c r="V83" s="30" t="s">
        <v>36</v>
      </c>
      <c r="W83" s="31">
        <f>Assumptions!$B$22</f>
        <v>61</v>
      </c>
      <c r="X83" s="32" t="s">
        <v>5</v>
      </c>
      <c r="Y83" s="18">
        <f>Assumptions!$C$34</f>
        <v>1950</v>
      </c>
      <c r="Z83" s="32" t="s">
        <v>6</v>
      </c>
      <c r="AA83" s="28"/>
      <c r="AB83" s="28"/>
      <c r="AC83" s="33">
        <f>U83*W83*Y83</f>
        <v>0</v>
      </c>
      <c r="AE83" s="29">
        <f>AM74*(100%-AG78)</f>
        <v>0</v>
      </c>
      <c r="AF83" s="30" t="s">
        <v>36</v>
      </c>
      <c r="AG83" s="31">
        <f>Assumptions!$B$22</f>
        <v>61</v>
      </c>
      <c r="AH83" s="32" t="s">
        <v>5</v>
      </c>
      <c r="AI83" s="18">
        <f>Assumptions!$C$35</f>
        <v>2050</v>
      </c>
      <c r="AJ83" s="32" t="s">
        <v>6</v>
      </c>
      <c r="AK83" s="28"/>
      <c r="AL83" s="28"/>
      <c r="AM83" s="33">
        <f>AE83*AG83*AI83</f>
        <v>0</v>
      </c>
    </row>
    <row r="84" spans="1:39" ht="11.1" customHeight="1">
      <c r="A84" s="29">
        <f>I75*(100%-C78)</f>
        <v>90</v>
      </c>
      <c r="B84" s="30" t="s">
        <v>37</v>
      </c>
      <c r="C84" s="31">
        <f>Assumptions!$B$23</f>
        <v>75</v>
      </c>
      <c r="D84" s="32" t="s">
        <v>5</v>
      </c>
      <c r="E84" s="18">
        <f>Assumptions!$D$32</f>
        <v>1950</v>
      </c>
      <c r="F84" s="32" t="s">
        <v>6</v>
      </c>
      <c r="G84" s="28"/>
      <c r="H84" s="28"/>
      <c r="I84" s="33">
        <f>A84*C84*E84</f>
        <v>13162500</v>
      </c>
      <c r="K84" s="29">
        <f>S75*(100%-M78)</f>
        <v>80</v>
      </c>
      <c r="L84" s="30" t="s">
        <v>37</v>
      </c>
      <c r="M84" s="31">
        <f>Assumptions!$B$23</f>
        <v>75</v>
      </c>
      <c r="N84" s="32" t="s">
        <v>5</v>
      </c>
      <c r="O84" s="18">
        <f>Assumptions!$D$33</f>
        <v>1950</v>
      </c>
      <c r="P84" s="32" t="s">
        <v>6</v>
      </c>
      <c r="Q84" s="28"/>
      <c r="R84" s="28"/>
      <c r="S84" s="33">
        <f>K84*M84*O84</f>
        <v>11700000</v>
      </c>
      <c r="U84" s="29">
        <f>AC75*(100%-W78)</f>
        <v>70</v>
      </c>
      <c r="V84" s="30" t="s">
        <v>37</v>
      </c>
      <c r="W84" s="31">
        <f>Assumptions!$B$23</f>
        <v>75</v>
      </c>
      <c r="X84" s="32" t="s">
        <v>5</v>
      </c>
      <c r="Y84" s="18">
        <f>Assumptions!$D$34</f>
        <v>1950</v>
      </c>
      <c r="Z84" s="32" t="s">
        <v>6</v>
      </c>
      <c r="AA84" s="28"/>
      <c r="AB84" s="28"/>
      <c r="AC84" s="33">
        <f>U84*W84*Y84</f>
        <v>10237500</v>
      </c>
      <c r="AE84" s="29">
        <f>AM75*(100%-AG78)</f>
        <v>60</v>
      </c>
      <c r="AF84" s="30" t="s">
        <v>37</v>
      </c>
      <c r="AG84" s="31">
        <f>Assumptions!$B$23</f>
        <v>75</v>
      </c>
      <c r="AH84" s="32" t="s">
        <v>5</v>
      </c>
      <c r="AI84" s="18">
        <f>Assumptions!$D$35</f>
        <v>2050</v>
      </c>
      <c r="AJ84" s="32" t="s">
        <v>6</v>
      </c>
      <c r="AK84" s="28"/>
      <c r="AL84" s="28"/>
      <c r="AM84" s="33">
        <f>AE84*AG84*AI84</f>
        <v>9225000</v>
      </c>
    </row>
    <row r="85" spans="1:39" ht="11.1" customHeight="1">
      <c r="A85" s="29">
        <f>I76*(100%-C78)</f>
        <v>180</v>
      </c>
      <c r="B85" s="30" t="s">
        <v>38</v>
      </c>
      <c r="C85" s="31">
        <f>Assumptions!$B$24</f>
        <v>88</v>
      </c>
      <c r="D85" s="32" t="s">
        <v>5</v>
      </c>
      <c r="E85" s="18">
        <f>Assumptions!$E$32</f>
        <v>1950</v>
      </c>
      <c r="F85" s="32" t="s">
        <v>6</v>
      </c>
      <c r="G85" s="28"/>
      <c r="H85" s="28"/>
      <c r="I85" s="33">
        <f>A85*C85*E85</f>
        <v>30888000</v>
      </c>
      <c r="K85" s="29">
        <f>S76*(100%-M78)</f>
        <v>160</v>
      </c>
      <c r="L85" s="30" t="s">
        <v>38</v>
      </c>
      <c r="M85" s="31">
        <f>Assumptions!$B$24</f>
        <v>88</v>
      </c>
      <c r="N85" s="32" t="s">
        <v>5</v>
      </c>
      <c r="O85" s="18">
        <f>Assumptions!$E$33</f>
        <v>1950</v>
      </c>
      <c r="P85" s="32" t="s">
        <v>6</v>
      </c>
      <c r="Q85" s="28"/>
      <c r="R85" s="28"/>
      <c r="S85" s="33">
        <f>K85*M85*O85</f>
        <v>27456000</v>
      </c>
      <c r="U85" s="29">
        <f>AC76*(100%-W78)</f>
        <v>140</v>
      </c>
      <c r="V85" s="30" t="s">
        <v>38</v>
      </c>
      <c r="W85" s="31">
        <f>Assumptions!$B$24</f>
        <v>88</v>
      </c>
      <c r="X85" s="32" t="s">
        <v>5</v>
      </c>
      <c r="Y85" s="18">
        <f>Assumptions!$E$34</f>
        <v>1950</v>
      </c>
      <c r="Z85" s="32" t="s">
        <v>6</v>
      </c>
      <c r="AA85" s="28"/>
      <c r="AB85" s="28"/>
      <c r="AC85" s="33">
        <f>U85*W85*Y85</f>
        <v>24024000</v>
      </c>
      <c r="AE85" s="29">
        <f>AM76*(100%-AG78)</f>
        <v>120</v>
      </c>
      <c r="AF85" s="30" t="s">
        <v>38</v>
      </c>
      <c r="AG85" s="31">
        <f>Assumptions!$B$24</f>
        <v>88</v>
      </c>
      <c r="AH85" s="32" t="s">
        <v>5</v>
      </c>
      <c r="AI85" s="18">
        <f>Assumptions!$E$35</f>
        <v>2050</v>
      </c>
      <c r="AJ85" s="32" t="s">
        <v>6</v>
      </c>
      <c r="AK85" s="28"/>
      <c r="AL85" s="28"/>
      <c r="AM85" s="33">
        <f>AE85*AG85*AI85</f>
        <v>21648000</v>
      </c>
    </row>
    <row r="86" spans="1:39" ht="11.1" customHeight="1">
      <c r="A86" s="29">
        <f>I77*(100%-C78)</f>
        <v>135</v>
      </c>
      <c r="B86" s="30" t="s">
        <v>39</v>
      </c>
      <c r="C86" s="31">
        <f>Assumptions!$B$25</f>
        <v>120</v>
      </c>
      <c r="D86" s="32" t="s">
        <v>5</v>
      </c>
      <c r="E86" s="18">
        <f>Assumptions!$F$32</f>
        <v>1950</v>
      </c>
      <c r="F86" s="32" t="s">
        <v>6</v>
      </c>
      <c r="G86" s="28"/>
      <c r="H86" s="28"/>
      <c r="I86" s="33">
        <f>A86*C86*E86</f>
        <v>31590000</v>
      </c>
      <c r="K86" s="29">
        <f>S77*(100%-M78)</f>
        <v>120</v>
      </c>
      <c r="L86" s="30" t="s">
        <v>39</v>
      </c>
      <c r="M86" s="31">
        <f>Assumptions!$B$25</f>
        <v>120</v>
      </c>
      <c r="N86" s="32" t="s">
        <v>5</v>
      </c>
      <c r="O86" s="18">
        <f>Assumptions!$F$33</f>
        <v>1950</v>
      </c>
      <c r="P86" s="32" t="s">
        <v>6</v>
      </c>
      <c r="Q86" s="28"/>
      <c r="R86" s="28"/>
      <c r="S86" s="33">
        <f>K86*M86*O86</f>
        <v>28080000</v>
      </c>
      <c r="U86" s="29">
        <f>AC77*(100%-W78)</f>
        <v>105</v>
      </c>
      <c r="V86" s="30" t="s">
        <v>39</v>
      </c>
      <c r="W86" s="31">
        <f>Assumptions!$B$25</f>
        <v>120</v>
      </c>
      <c r="X86" s="32" t="s">
        <v>5</v>
      </c>
      <c r="Y86" s="18">
        <f>Assumptions!$F$34</f>
        <v>1950</v>
      </c>
      <c r="Z86" s="32" t="s">
        <v>6</v>
      </c>
      <c r="AA86" s="28"/>
      <c r="AB86" s="28"/>
      <c r="AC86" s="33">
        <f>U86*W86*Y86</f>
        <v>24570000</v>
      </c>
      <c r="AE86" s="29">
        <f>AM77*(100%-AG78)</f>
        <v>90</v>
      </c>
      <c r="AF86" s="30" t="s">
        <v>39</v>
      </c>
      <c r="AG86" s="31">
        <f>Assumptions!$B$25</f>
        <v>120</v>
      </c>
      <c r="AH86" s="32" t="s">
        <v>5</v>
      </c>
      <c r="AI86" s="18">
        <f>Assumptions!$F$35</f>
        <v>2050</v>
      </c>
      <c r="AJ86" s="32" t="s">
        <v>6</v>
      </c>
      <c r="AK86" s="28"/>
      <c r="AL86" s="28"/>
      <c r="AM86" s="33">
        <f>AE86*AG86*AI86</f>
        <v>22140000</v>
      </c>
    </row>
    <row r="87" spans="1:39" ht="11.1" customHeight="1">
      <c r="A87" s="29">
        <f>I78*(100%-C78)</f>
        <v>45</v>
      </c>
      <c r="B87" s="30" t="s">
        <v>40</v>
      </c>
      <c r="C87" s="31">
        <f>Assumptions!$B$26</f>
        <v>150</v>
      </c>
      <c r="D87" s="32" t="s">
        <v>5</v>
      </c>
      <c r="E87" s="18">
        <f>Assumptions!$G$32</f>
        <v>1950</v>
      </c>
      <c r="F87" s="32" t="s">
        <v>6</v>
      </c>
      <c r="G87" s="28"/>
      <c r="H87" s="28"/>
      <c r="I87" s="33">
        <f>A87*C87*E87</f>
        <v>13162500</v>
      </c>
      <c r="K87" s="29">
        <f>S78*(100%-M78)</f>
        <v>40</v>
      </c>
      <c r="L87" s="30" t="s">
        <v>40</v>
      </c>
      <c r="M87" s="31">
        <f>Assumptions!$B$26</f>
        <v>150</v>
      </c>
      <c r="N87" s="32" t="s">
        <v>5</v>
      </c>
      <c r="O87" s="18">
        <f>Assumptions!$G$33</f>
        <v>1950</v>
      </c>
      <c r="P87" s="32" t="s">
        <v>6</v>
      </c>
      <c r="Q87" s="28"/>
      <c r="R87" s="28"/>
      <c r="S87" s="33">
        <f>K87*M87*O87</f>
        <v>11700000</v>
      </c>
      <c r="U87" s="29">
        <f>AC78*(100%-W78)</f>
        <v>35</v>
      </c>
      <c r="V87" s="30" t="s">
        <v>40</v>
      </c>
      <c r="W87" s="31">
        <f>Assumptions!$B$26</f>
        <v>150</v>
      </c>
      <c r="X87" s="32" t="s">
        <v>5</v>
      </c>
      <c r="Y87" s="18">
        <f>Assumptions!$G$34</f>
        <v>1950</v>
      </c>
      <c r="Z87" s="32" t="s">
        <v>6</v>
      </c>
      <c r="AA87" s="28"/>
      <c r="AB87" s="28"/>
      <c r="AC87" s="33">
        <f>U87*W87*Y87</f>
        <v>10237500</v>
      </c>
      <c r="AE87" s="29">
        <f>AM78*(100%-AG78)</f>
        <v>30</v>
      </c>
      <c r="AF87" s="30" t="s">
        <v>40</v>
      </c>
      <c r="AG87" s="31">
        <f>Assumptions!$B$26</f>
        <v>150</v>
      </c>
      <c r="AH87" s="32" t="s">
        <v>5</v>
      </c>
      <c r="AI87" s="18">
        <f>Assumptions!$G$35</f>
        <v>2050</v>
      </c>
      <c r="AJ87" s="32" t="s">
        <v>6</v>
      </c>
      <c r="AK87" s="28"/>
      <c r="AL87" s="28"/>
      <c r="AM87" s="33">
        <f>AE87*AG87*AI87</f>
        <v>9225000</v>
      </c>
    </row>
    <row r="88" spans="1:39" ht="11.1" customHeight="1">
      <c r="A88" s="26"/>
      <c r="B88" s="26"/>
      <c r="C88" s="26"/>
      <c r="D88" s="34"/>
      <c r="E88" s="26"/>
      <c r="F88" s="34"/>
      <c r="G88" s="26"/>
      <c r="H88" s="26"/>
      <c r="I88" s="35"/>
      <c r="K88" s="26"/>
      <c r="L88" s="26"/>
      <c r="M88" s="26"/>
      <c r="N88" s="34"/>
      <c r="O88" s="26"/>
      <c r="P88" s="34"/>
      <c r="Q88" s="26"/>
      <c r="R88" s="26"/>
      <c r="S88" s="35"/>
      <c r="U88" s="26"/>
      <c r="V88" s="26"/>
      <c r="W88" s="26"/>
      <c r="X88" s="34"/>
      <c r="Y88" s="26"/>
      <c r="Z88" s="34"/>
      <c r="AA88" s="26"/>
      <c r="AB88" s="26"/>
      <c r="AC88" s="35"/>
      <c r="AE88" s="26"/>
      <c r="AF88" s="26"/>
      <c r="AG88" s="26"/>
      <c r="AH88" s="34"/>
      <c r="AI88" s="26"/>
      <c r="AJ88" s="34"/>
      <c r="AK88" s="26"/>
      <c r="AL88" s="26"/>
      <c r="AM88" s="35"/>
    </row>
    <row r="89" spans="1:39" ht="11.1" customHeight="1">
      <c r="A89" s="17" t="str">
        <f>Assumptions!$D$12</f>
        <v>Neutral Tenure</v>
      </c>
      <c r="B89" s="17"/>
      <c r="C89"/>
      <c r="D89"/>
      <c r="E89" s="28"/>
      <c r="F89" s="32"/>
      <c r="G89" s="28"/>
      <c r="H89" s="28"/>
      <c r="I89" s="36"/>
      <c r="J89"/>
      <c r="K89" s="17" t="str">
        <f>Assumptions!$D$12</f>
        <v>Neutral Tenure</v>
      </c>
      <c r="L89" s="17"/>
      <c r="M89"/>
      <c r="N89"/>
      <c r="O89" s="28"/>
      <c r="P89" s="32"/>
      <c r="Q89" s="28"/>
      <c r="R89" s="28"/>
      <c r="S89" s="36"/>
      <c r="T89"/>
      <c r="U89" s="17" t="str">
        <f>Assumptions!$D$12</f>
        <v>Neutral Tenure</v>
      </c>
      <c r="V89" s="17"/>
      <c r="W89"/>
      <c r="X89"/>
      <c r="Y89" s="28"/>
      <c r="Z89" s="32"/>
      <c r="AA89" s="28"/>
      <c r="AB89" s="28"/>
      <c r="AC89" s="36"/>
      <c r="AD89"/>
      <c r="AE89" s="17" t="str">
        <f>Assumptions!$D$12</f>
        <v>Neutral Tenure</v>
      </c>
      <c r="AF89" s="17"/>
      <c r="AG89"/>
      <c r="AH89"/>
      <c r="AI89" s="28"/>
      <c r="AJ89" s="32"/>
      <c r="AK89" s="28"/>
      <c r="AL89" s="28"/>
      <c r="AM89" s="36"/>
    </row>
    <row r="90" spans="1:39" ht="11.1" customHeight="1">
      <c r="A90" s="29">
        <f>D78*C79*Assumptions!$H$13</f>
        <v>0</v>
      </c>
      <c r="B90" s="30" t="s">
        <v>36</v>
      </c>
      <c r="C90" s="37">
        <f>Assumptions!$E$24</f>
        <v>65</v>
      </c>
      <c r="D90" s="32" t="s">
        <v>7</v>
      </c>
      <c r="E90" s="28">
        <f>Assumptions!$C$37</f>
        <v>921</v>
      </c>
      <c r="F90" s="32" t="s">
        <v>6</v>
      </c>
      <c r="G90" s="28"/>
      <c r="H90" s="28"/>
      <c r="I90" s="33">
        <f>A90*C90*E90</f>
        <v>0</v>
      </c>
      <c r="J90"/>
      <c r="K90" s="29">
        <f>N78*M79*Assumptions!$H$13</f>
        <v>0</v>
      </c>
      <c r="L90" s="30" t="s">
        <v>36</v>
      </c>
      <c r="M90" s="37">
        <f>Assumptions!$E$24</f>
        <v>65</v>
      </c>
      <c r="N90" s="32" t="s">
        <v>7</v>
      </c>
      <c r="O90" s="28">
        <f>Assumptions!$C$38</f>
        <v>925</v>
      </c>
      <c r="P90" s="32" t="s">
        <v>6</v>
      </c>
      <c r="Q90" s="28"/>
      <c r="R90" s="28"/>
      <c r="S90" s="33">
        <f>K90*M90*O90</f>
        <v>0</v>
      </c>
      <c r="T90"/>
      <c r="U90" s="29">
        <f>X78*W79*Assumptions!$H$13</f>
        <v>0</v>
      </c>
      <c r="V90" s="30" t="s">
        <v>36</v>
      </c>
      <c r="W90" s="37">
        <f>Assumptions!$E$24</f>
        <v>65</v>
      </c>
      <c r="X90" s="32" t="s">
        <v>7</v>
      </c>
      <c r="Y90" s="28">
        <f>Assumptions!$C$39</f>
        <v>948</v>
      </c>
      <c r="Z90" s="32" t="s">
        <v>6</v>
      </c>
      <c r="AA90" s="28"/>
      <c r="AB90" s="28"/>
      <c r="AC90" s="33">
        <f>U90*W90*Y90</f>
        <v>0</v>
      </c>
      <c r="AD90"/>
      <c r="AE90" s="29">
        <f>AH78*AG79*Assumptions!$H$13</f>
        <v>0</v>
      </c>
      <c r="AF90" s="30" t="s">
        <v>36</v>
      </c>
      <c r="AG90" s="37">
        <f>Assumptions!$E$24</f>
        <v>65</v>
      </c>
      <c r="AH90" s="32" t="s">
        <v>7</v>
      </c>
      <c r="AI90" s="28">
        <f>Assumptions!$C$40</f>
        <v>1027</v>
      </c>
      <c r="AJ90" s="32" t="s">
        <v>6</v>
      </c>
      <c r="AK90" s="28"/>
      <c r="AL90" s="28"/>
      <c r="AM90" s="33">
        <f>AE90*AG90*AI90</f>
        <v>0</v>
      </c>
    </row>
    <row r="91" spans="1:39" ht="11.1" customHeight="1">
      <c r="A91" s="29">
        <f>D78*C79*Assumptions!$H$14</f>
        <v>35</v>
      </c>
      <c r="B91" s="30" t="s">
        <v>90</v>
      </c>
      <c r="C91" s="37">
        <f>Assumptions!$E$25</f>
        <v>83</v>
      </c>
      <c r="D91" s="32" t="s">
        <v>7</v>
      </c>
      <c r="E91" s="28">
        <f>Assumptions!$D$37</f>
        <v>891</v>
      </c>
      <c r="F91" s="32" t="s">
        <v>6</v>
      </c>
      <c r="G91" s="28"/>
      <c r="H91" s="28"/>
      <c r="I91" s="33">
        <f>A91*C91*E91</f>
        <v>2588355</v>
      </c>
      <c r="J91"/>
      <c r="K91" s="29">
        <f>N78*M79*Assumptions!$H$14</f>
        <v>70</v>
      </c>
      <c r="L91" s="30" t="s">
        <v>90</v>
      </c>
      <c r="M91" s="37">
        <f>Assumptions!$E$25</f>
        <v>83</v>
      </c>
      <c r="N91" s="32" t="s">
        <v>7</v>
      </c>
      <c r="O91" s="28">
        <f>Assumptions!$D$38</f>
        <v>898</v>
      </c>
      <c r="P91" s="32" t="s">
        <v>6</v>
      </c>
      <c r="Q91" s="28"/>
      <c r="R91" s="28"/>
      <c r="S91" s="33">
        <f>K91*M91*O91</f>
        <v>5217380</v>
      </c>
      <c r="T91"/>
      <c r="U91" s="29">
        <f>X78*W79*Assumptions!$H$14</f>
        <v>105</v>
      </c>
      <c r="V91" s="30" t="s">
        <v>90</v>
      </c>
      <c r="W91" s="37">
        <f>Assumptions!$E$25</f>
        <v>83</v>
      </c>
      <c r="X91" s="32" t="s">
        <v>7</v>
      </c>
      <c r="Y91" s="28">
        <f>Assumptions!$D$39</f>
        <v>932</v>
      </c>
      <c r="Z91" s="32" t="s">
        <v>6</v>
      </c>
      <c r="AA91" s="28"/>
      <c r="AB91" s="28"/>
      <c r="AC91" s="33">
        <f>U91*W91*Y91</f>
        <v>8122380</v>
      </c>
      <c r="AD91"/>
      <c r="AE91" s="29">
        <f>AH78*AG79*Assumptions!$H$14</f>
        <v>140</v>
      </c>
      <c r="AF91" s="30" t="s">
        <v>90</v>
      </c>
      <c r="AG91" s="37">
        <f>Assumptions!$E$25</f>
        <v>83</v>
      </c>
      <c r="AH91" s="32" t="s">
        <v>7</v>
      </c>
      <c r="AI91" s="28">
        <f>Assumptions!$D$40</f>
        <v>1057</v>
      </c>
      <c r="AJ91" s="32" t="s">
        <v>6</v>
      </c>
      <c r="AK91" s="28"/>
      <c r="AL91" s="28"/>
      <c r="AM91" s="33">
        <f>AE91*AG91*AI91</f>
        <v>12282340</v>
      </c>
    </row>
    <row r="92" spans="1:39" ht="11.1" customHeight="1">
      <c r="A92" s="29">
        <f>D78*C79*Assumptions!$H$15</f>
        <v>15</v>
      </c>
      <c r="B92" s="30" t="s">
        <v>91</v>
      </c>
      <c r="C92" s="37">
        <f>Assumptions!$E$26</f>
        <v>94</v>
      </c>
      <c r="D92" s="32" t="s">
        <v>7</v>
      </c>
      <c r="E92" s="28">
        <f>Assumptions!$E$37</f>
        <v>848</v>
      </c>
      <c r="F92" s="32" t="s">
        <v>6</v>
      </c>
      <c r="G92" s="28"/>
      <c r="H92" s="28"/>
      <c r="I92" s="33">
        <f>A92*C92*E92</f>
        <v>1195680</v>
      </c>
      <c r="J92"/>
      <c r="K92" s="29">
        <f>N78*M79*Assumptions!$H$15</f>
        <v>30</v>
      </c>
      <c r="L92" s="30" t="s">
        <v>91</v>
      </c>
      <c r="M92" s="37">
        <f>Assumptions!$E$26</f>
        <v>94</v>
      </c>
      <c r="N92" s="32" t="s">
        <v>7</v>
      </c>
      <c r="O92" s="28">
        <f>Assumptions!$E$38</f>
        <v>855</v>
      </c>
      <c r="P92" s="32" t="s">
        <v>6</v>
      </c>
      <c r="Q92" s="28"/>
      <c r="R92" s="28"/>
      <c r="S92" s="33">
        <f>K92*M92*O92</f>
        <v>2411100</v>
      </c>
      <c r="T92"/>
      <c r="U92" s="29">
        <f>X78*W79*Assumptions!$H$15</f>
        <v>45</v>
      </c>
      <c r="V92" s="30" t="s">
        <v>91</v>
      </c>
      <c r="W92" s="37">
        <f>Assumptions!$E$26</f>
        <v>94</v>
      </c>
      <c r="X92" s="32" t="s">
        <v>7</v>
      </c>
      <c r="Y92" s="28">
        <f>Assumptions!$E$39</f>
        <v>886</v>
      </c>
      <c r="Z92" s="32" t="s">
        <v>6</v>
      </c>
      <c r="AA92" s="28"/>
      <c r="AB92" s="28"/>
      <c r="AC92" s="33">
        <f>U92*W92*Y92</f>
        <v>3747780</v>
      </c>
      <c r="AD92"/>
      <c r="AE92" s="29">
        <f>AH78*AG79*Assumptions!$H$15</f>
        <v>60</v>
      </c>
      <c r="AF92" s="30" t="s">
        <v>91</v>
      </c>
      <c r="AG92" s="37">
        <f>Assumptions!$E$26</f>
        <v>94</v>
      </c>
      <c r="AH92" s="32" t="s">
        <v>7</v>
      </c>
      <c r="AI92" s="28">
        <f>Assumptions!$E$40</f>
        <v>1001</v>
      </c>
      <c r="AJ92" s="32" t="s">
        <v>6</v>
      </c>
      <c r="AK92" s="28"/>
      <c r="AL92" s="28"/>
      <c r="AM92" s="33">
        <f>AE92*AG92*AI92</f>
        <v>5645640</v>
      </c>
    </row>
    <row r="93" spans="1:39" ht="11.1" customHeight="1">
      <c r="A93" s="38"/>
      <c r="B93" s="26"/>
      <c r="C93" s="39"/>
      <c r="D93" s="34"/>
      <c r="E93" s="26"/>
      <c r="F93" s="34"/>
      <c r="G93" s="26"/>
      <c r="H93" s="26"/>
      <c r="I93" s="40"/>
      <c r="K93" s="38"/>
      <c r="L93" s="26"/>
      <c r="M93" s="39"/>
      <c r="N93" s="34"/>
      <c r="O93" s="26"/>
      <c r="P93" s="34"/>
      <c r="Q93" s="26"/>
      <c r="R93" s="26"/>
      <c r="S93" s="40"/>
      <c r="U93" s="38"/>
      <c r="V93" s="26"/>
      <c r="W93" s="39"/>
      <c r="X93" s="34"/>
      <c r="Y93" s="26"/>
      <c r="Z93" s="34"/>
      <c r="AA93" s="26"/>
      <c r="AB93" s="26"/>
      <c r="AC93" s="40"/>
      <c r="AE93" s="38"/>
      <c r="AF93" s="26"/>
      <c r="AG93" s="39"/>
      <c r="AH93" s="34"/>
      <c r="AI93" s="26"/>
      <c r="AJ93" s="34"/>
      <c r="AK93" s="26"/>
      <c r="AL93" s="26"/>
      <c r="AM93" s="40"/>
    </row>
    <row r="94" spans="1:39" ht="11.1" customHeight="1">
      <c r="A94" s="17" t="s">
        <v>92</v>
      </c>
      <c r="B94" s="17"/>
      <c r="C94" s="20">
        <f>Assumptions!$E$18</f>
        <v>0</v>
      </c>
      <c r="D94" s="32" t="s">
        <v>89</v>
      </c>
      <c r="E94" s="28"/>
      <c r="F94" s="32"/>
      <c r="G94" s="28"/>
      <c r="H94" s="28"/>
      <c r="I94" s="36"/>
      <c r="K94" s="17" t="s">
        <v>92</v>
      </c>
      <c r="L94" s="17"/>
      <c r="M94" s="20">
        <f>Assumptions!$E$18</f>
        <v>0</v>
      </c>
      <c r="N94" s="32" t="s">
        <v>89</v>
      </c>
      <c r="O94" s="28"/>
      <c r="P94" s="32"/>
      <c r="Q94" s="28"/>
      <c r="R94" s="28"/>
      <c r="S94" s="36"/>
      <c r="U94" s="17" t="s">
        <v>92</v>
      </c>
      <c r="V94" s="17"/>
      <c r="W94" s="20">
        <f>Assumptions!$E$18</f>
        <v>0</v>
      </c>
      <c r="X94" s="32" t="s">
        <v>89</v>
      </c>
      <c r="Y94" s="28"/>
      <c r="Z94" s="32"/>
      <c r="AA94" s="28"/>
      <c r="AB94" s="28"/>
      <c r="AC94" s="36"/>
      <c r="AE94" s="17" t="s">
        <v>92</v>
      </c>
      <c r="AF94" s="17"/>
      <c r="AG94" s="20">
        <f>Assumptions!$E$18</f>
        <v>0</v>
      </c>
      <c r="AH94" s="32" t="s">
        <v>89</v>
      </c>
      <c r="AI94" s="28"/>
      <c r="AJ94" s="32"/>
      <c r="AK94" s="28"/>
      <c r="AL94" s="28"/>
      <c r="AM94" s="36"/>
    </row>
    <row r="95" spans="1:39" ht="11.1" customHeight="1">
      <c r="A95" s="29">
        <f>D78*E79*0.3</f>
        <v>0</v>
      </c>
      <c r="B95" s="30" t="s">
        <v>36</v>
      </c>
      <c r="C95" s="37">
        <f>C83</f>
        <v>61</v>
      </c>
      <c r="D95" s="32" t="s">
        <v>93</v>
      </c>
      <c r="E95" s="28">
        <f>E83*C94</f>
        <v>0</v>
      </c>
      <c r="F95" s="32" t="s">
        <v>6</v>
      </c>
      <c r="G95" s="28"/>
      <c r="H95" s="28"/>
      <c r="I95" s="33">
        <f>A95*C95*E95</f>
        <v>0</v>
      </c>
      <c r="K95" s="29">
        <f>N78*O79*0.3</f>
        <v>0</v>
      </c>
      <c r="L95" s="30" t="s">
        <v>36</v>
      </c>
      <c r="M95" s="37">
        <f>M83</f>
        <v>61</v>
      </c>
      <c r="N95" s="32" t="s">
        <v>93</v>
      </c>
      <c r="O95" s="28">
        <f>O83*M94</f>
        <v>0</v>
      </c>
      <c r="P95" s="32" t="s">
        <v>6</v>
      </c>
      <c r="Q95" s="28"/>
      <c r="R95" s="28"/>
      <c r="S95" s="33">
        <f>K95*M95*O95</f>
        <v>0</v>
      </c>
      <c r="U95" s="29">
        <f>X78*Y79*0.3</f>
        <v>0</v>
      </c>
      <c r="V95" s="30" t="s">
        <v>36</v>
      </c>
      <c r="W95" s="37">
        <f>W83</f>
        <v>61</v>
      </c>
      <c r="X95" s="32" t="s">
        <v>93</v>
      </c>
      <c r="Y95" s="28">
        <f>Y83*W94</f>
        <v>0</v>
      </c>
      <c r="Z95" s="32" t="s">
        <v>6</v>
      </c>
      <c r="AA95" s="28"/>
      <c r="AB95" s="28"/>
      <c r="AC95" s="33">
        <f>U95*W95*Y95</f>
        <v>0</v>
      </c>
      <c r="AE95" s="29">
        <f>AH78*AI79*0.3</f>
        <v>0</v>
      </c>
      <c r="AF95" s="30" t="s">
        <v>36</v>
      </c>
      <c r="AG95" s="37">
        <f>AG83</f>
        <v>61</v>
      </c>
      <c r="AH95" s="32" t="s">
        <v>93</v>
      </c>
      <c r="AI95" s="28">
        <f>AI83*AG94</f>
        <v>0</v>
      </c>
      <c r="AJ95" s="32" t="s">
        <v>6</v>
      </c>
      <c r="AK95" s="28"/>
      <c r="AL95" s="28"/>
      <c r="AM95" s="33">
        <f>AE95*AG95*AI95</f>
        <v>0</v>
      </c>
    </row>
    <row r="96" spans="1:39" ht="11.1" customHeight="1">
      <c r="A96" s="29">
        <f>D78*E79*0.5</f>
        <v>0</v>
      </c>
      <c r="B96" s="30" t="s">
        <v>90</v>
      </c>
      <c r="C96" s="37">
        <f>C84</f>
        <v>75</v>
      </c>
      <c r="D96" s="32" t="s">
        <v>93</v>
      </c>
      <c r="E96" s="28">
        <f>E84*C94</f>
        <v>0</v>
      </c>
      <c r="F96" s="32" t="s">
        <v>6</v>
      </c>
      <c r="G96" s="28"/>
      <c r="H96" s="28"/>
      <c r="I96" s="33">
        <f>A96*C96*E96</f>
        <v>0</v>
      </c>
      <c r="K96" s="29">
        <f>N78*O79*0.5</f>
        <v>0</v>
      </c>
      <c r="L96" s="30" t="s">
        <v>90</v>
      </c>
      <c r="M96" s="37">
        <f>M84</f>
        <v>75</v>
      </c>
      <c r="N96" s="32" t="s">
        <v>93</v>
      </c>
      <c r="O96" s="28">
        <f>O84*M94</f>
        <v>0</v>
      </c>
      <c r="P96" s="32" t="s">
        <v>6</v>
      </c>
      <c r="Q96" s="28"/>
      <c r="R96" s="28"/>
      <c r="S96" s="33">
        <f>K96*M96*O96</f>
        <v>0</v>
      </c>
      <c r="U96" s="29">
        <f>X78*Y79*0.5</f>
        <v>0</v>
      </c>
      <c r="V96" s="30" t="s">
        <v>90</v>
      </c>
      <c r="W96" s="37">
        <f>W84</f>
        <v>75</v>
      </c>
      <c r="X96" s="32" t="s">
        <v>93</v>
      </c>
      <c r="Y96" s="28">
        <f>Y84*W94</f>
        <v>0</v>
      </c>
      <c r="Z96" s="32" t="s">
        <v>6</v>
      </c>
      <c r="AA96" s="28"/>
      <c r="AB96" s="28"/>
      <c r="AC96" s="33">
        <f>U96*W96*Y96</f>
        <v>0</v>
      </c>
      <c r="AE96" s="29">
        <f>AH78*AI79*0.5</f>
        <v>0</v>
      </c>
      <c r="AF96" s="30" t="s">
        <v>90</v>
      </c>
      <c r="AG96" s="37">
        <f>AG84</f>
        <v>75</v>
      </c>
      <c r="AH96" s="32" t="s">
        <v>93</v>
      </c>
      <c r="AI96" s="28">
        <f>AI84*AG94</f>
        <v>0</v>
      </c>
      <c r="AJ96" s="32" t="s">
        <v>6</v>
      </c>
      <c r="AK96" s="28"/>
      <c r="AL96" s="28"/>
      <c r="AM96" s="33">
        <f>AE96*AG96*AI96</f>
        <v>0</v>
      </c>
    </row>
    <row r="97" spans="1:39" ht="11.1" customHeight="1">
      <c r="A97" s="29">
        <f>D78*E79*0.2</f>
        <v>0</v>
      </c>
      <c r="B97" s="30" t="s">
        <v>91</v>
      </c>
      <c r="C97" s="37">
        <f>C85</f>
        <v>88</v>
      </c>
      <c r="D97" s="32" t="s">
        <v>93</v>
      </c>
      <c r="E97" s="28">
        <f>E85*C94</f>
        <v>0</v>
      </c>
      <c r="F97" s="32" t="s">
        <v>6</v>
      </c>
      <c r="G97" s="28"/>
      <c r="H97" s="28"/>
      <c r="I97" s="33">
        <f>A97*C97*E97</f>
        <v>0</v>
      </c>
      <c r="K97" s="29">
        <f>N78*O79*0.2</f>
        <v>0</v>
      </c>
      <c r="L97" s="30" t="s">
        <v>91</v>
      </c>
      <c r="M97" s="37">
        <f>M85</f>
        <v>88</v>
      </c>
      <c r="N97" s="32" t="s">
        <v>93</v>
      </c>
      <c r="O97" s="28">
        <f>O85*M94</f>
        <v>0</v>
      </c>
      <c r="P97" s="32" t="s">
        <v>6</v>
      </c>
      <c r="Q97" s="28"/>
      <c r="R97" s="28"/>
      <c r="S97" s="33">
        <f>K97*M97*O97</f>
        <v>0</v>
      </c>
      <c r="U97" s="29">
        <f>X78*Y79*0.2</f>
        <v>0</v>
      </c>
      <c r="V97" s="30" t="s">
        <v>91</v>
      </c>
      <c r="W97" s="37">
        <f>W85</f>
        <v>88</v>
      </c>
      <c r="X97" s="32" t="s">
        <v>93</v>
      </c>
      <c r="Y97" s="28">
        <f>Y85*W94</f>
        <v>0</v>
      </c>
      <c r="Z97" s="32" t="s">
        <v>6</v>
      </c>
      <c r="AA97" s="28"/>
      <c r="AB97" s="28"/>
      <c r="AC97" s="33">
        <f>U97*W97*Y97</f>
        <v>0</v>
      </c>
      <c r="AE97" s="29">
        <f>AH78*AI79*0.2</f>
        <v>0</v>
      </c>
      <c r="AF97" s="30" t="s">
        <v>91</v>
      </c>
      <c r="AG97" s="37">
        <f>AG85</f>
        <v>88</v>
      </c>
      <c r="AH97" s="32" t="s">
        <v>93</v>
      </c>
      <c r="AI97" s="28">
        <f>AI85*AG94</f>
        <v>0</v>
      </c>
      <c r="AJ97" s="32" t="s">
        <v>6</v>
      </c>
      <c r="AK97" s="28"/>
      <c r="AL97" s="28"/>
      <c r="AM97" s="33">
        <f>AE97*AG97*AI97</f>
        <v>0</v>
      </c>
    </row>
    <row r="98" spans="1:39" ht="11.1" customHeight="1">
      <c r="A98" s="38"/>
      <c r="B98" s="26"/>
      <c r="C98" s="39"/>
      <c r="D98" s="34"/>
      <c r="E98" s="26"/>
      <c r="F98" s="34"/>
      <c r="G98" s="26"/>
      <c r="H98" s="26"/>
      <c r="I98" s="40"/>
      <c r="K98" s="38"/>
      <c r="L98" s="26"/>
      <c r="M98" s="39"/>
      <c r="N98" s="34"/>
      <c r="O98" s="26"/>
      <c r="P98" s="34"/>
      <c r="Q98" s="26"/>
      <c r="R98" s="26"/>
      <c r="S98" s="40"/>
      <c r="U98" s="38"/>
      <c r="V98" s="26"/>
      <c r="W98" s="39"/>
      <c r="X98" s="34"/>
      <c r="Y98" s="26"/>
      <c r="Z98" s="34"/>
      <c r="AA98" s="26"/>
      <c r="AB98" s="26"/>
      <c r="AC98" s="40"/>
      <c r="AE98" s="38"/>
      <c r="AF98" s="26"/>
      <c r="AG98" s="39"/>
      <c r="AH98" s="34"/>
      <c r="AI98" s="26"/>
      <c r="AJ98" s="34"/>
      <c r="AK98" s="26"/>
      <c r="AL98" s="26"/>
      <c r="AM98" s="40"/>
    </row>
    <row r="99" spans="1:39" ht="11.1" customHeight="1">
      <c r="A99" s="17" t="s">
        <v>94</v>
      </c>
      <c r="B99" s="17"/>
      <c r="C99" s="20">
        <f>Assumptions!$F$18</f>
        <v>0</v>
      </c>
      <c r="D99" s="32" t="s">
        <v>89</v>
      </c>
      <c r="E99" s="28"/>
      <c r="F99" s="32"/>
      <c r="G99" s="28"/>
      <c r="H99" s="28"/>
      <c r="I99" s="36"/>
      <c r="K99" s="17" t="s">
        <v>94</v>
      </c>
      <c r="L99" s="17"/>
      <c r="M99" s="20">
        <f>Assumptions!$F$18</f>
        <v>0</v>
      </c>
      <c r="N99" s="32" t="s">
        <v>89</v>
      </c>
      <c r="O99" s="28"/>
      <c r="P99" s="32"/>
      <c r="Q99" s="28"/>
      <c r="R99" s="28"/>
      <c r="S99" s="36"/>
      <c r="U99" s="17" t="s">
        <v>94</v>
      </c>
      <c r="V99" s="17"/>
      <c r="W99" s="20">
        <f>Assumptions!$F$18</f>
        <v>0</v>
      </c>
      <c r="X99" s="32" t="s">
        <v>89</v>
      </c>
      <c r="Y99" s="28"/>
      <c r="Z99" s="32"/>
      <c r="AA99" s="28"/>
      <c r="AB99" s="28"/>
      <c r="AC99" s="36"/>
      <c r="AE99" s="17" t="s">
        <v>94</v>
      </c>
      <c r="AF99" s="17"/>
      <c r="AG99" s="20">
        <f>Assumptions!$F$18</f>
        <v>0</v>
      </c>
      <c r="AH99" s="32" t="s">
        <v>89</v>
      </c>
      <c r="AI99" s="28"/>
      <c r="AJ99" s="32"/>
      <c r="AK99" s="28"/>
      <c r="AL99" s="28"/>
      <c r="AM99" s="36"/>
    </row>
    <row r="100" spans="1:39" ht="11.1" customHeight="1">
      <c r="A100" s="29">
        <f>D78*G79*0.3</f>
        <v>0</v>
      </c>
      <c r="B100" s="30" t="s">
        <v>36</v>
      </c>
      <c r="C100" s="37">
        <f>C83</f>
        <v>61</v>
      </c>
      <c r="D100" s="32" t="s">
        <v>93</v>
      </c>
      <c r="E100" s="28">
        <f>E83*C99</f>
        <v>0</v>
      </c>
      <c r="F100" s="32" t="s">
        <v>6</v>
      </c>
      <c r="G100" s="28"/>
      <c r="H100" s="28"/>
      <c r="I100" s="33">
        <f>A100*C100*E100</f>
        <v>0</v>
      </c>
      <c r="K100" s="29">
        <f>N78*Q79*0.3</f>
        <v>0</v>
      </c>
      <c r="L100" s="30" t="s">
        <v>36</v>
      </c>
      <c r="M100" s="37">
        <f>M83</f>
        <v>61</v>
      </c>
      <c r="N100" s="32" t="s">
        <v>93</v>
      </c>
      <c r="O100" s="28">
        <f>O83*M99</f>
        <v>0</v>
      </c>
      <c r="P100" s="32" t="s">
        <v>6</v>
      </c>
      <c r="Q100" s="28"/>
      <c r="R100" s="28"/>
      <c r="S100" s="33">
        <f>K100*M100*O100</f>
        <v>0</v>
      </c>
      <c r="U100" s="29">
        <f>X78*AA79*0.3</f>
        <v>0</v>
      </c>
      <c r="V100" s="30" t="s">
        <v>36</v>
      </c>
      <c r="W100" s="37">
        <f>W83</f>
        <v>61</v>
      </c>
      <c r="X100" s="32" t="s">
        <v>93</v>
      </c>
      <c r="Y100" s="28">
        <f>Y83*W99</f>
        <v>0</v>
      </c>
      <c r="Z100" s="32" t="s">
        <v>6</v>
      </c>
      <c r="AA100" s="28"/>
      <c r="AB100" s="28"/>
      <c r="AC100" s="33">
        <f>U100*W100*Y100</f>
        <v>0</v>
      </c>
      <c r="AE100" s="29">
        <f>AH78*AK79*0.3</f>
        <v>0</v>
      </c>
      <c r="AF100" s="30" t="s">
        <v>36</v>
      </c>
      <c r="AG100" s="37">
        <f>AG83</f>
        <v>61</v>
      </c>
      <c r="AH100" s="32" t="s">
        <v>93</v>
      </c>
      <c r="AI100" s="28">
        <f>AI83*AG99</f>
        <v>0</v>
      </c>
      <c r="AJ100" s="32" t="s">
        <v>6</v>
      </c>
      <c r="AK100" s="28"/>
      <c r="AL100" s="28"/>
      <c r="AM100" s="33">
        <f>AE100*AG100*AI100</f>
        <v>0</v>
      </c>
    </row>
    <row r="101" spans="1:39" ht="11.1" customHeight="1">
      <c r="A101" s="29">
        <f>D78*G79*0.5</f>
        <v>0</v>
      </c>
      <c r="B101" s="30" t="s">
        <v>90</v>
      </c>
      <c r="C101" s="37">
        <f>C84</f>
        <v>75</v>
      </c>
      <c r="D101" s="32" t="s">
        <v>93</v>
      </c>
      <c r="E101" s="28">
        <f>E84*C99</f>
        <v>0</v>
      </c>
      <c r="F101" s="32" t="s">
        <v>6</v>
      </c>
      <c r="G101" s="28"/>
      <c r="H101" s="28"/>
      <c r="I101" s="33">
        <f>A101*C101*E101</f>
        <v>0</v>
      </c>
      <c r="K101" s="29">
        <f>N78*Q79*0.5</f>
        <v>0</v>
      </c>
      <c r="L101" s="30" t="s">
        <v>90</v>
      </c>
      <c r="M101" s="37">
        <f>M84</f>
        <v>75</v>
      </c>
      <c r="N101" s="32" t="s">
        <v>93</v>
      </c>
      <c r="O101" s="28">
        <f>O84*M99</f>
        <v>0</v>
      </c>
      <c r="P101" s="32" t="s">
        <v>6</v>
      </c>
      <c r="Q101" s="28"/>
      <c r="R101" s="28"/>
      <c r="S101" s="33">
        <f>K101*M101*O101</f>
        <v>0</v>
      </c>
      <c r="U101" s="29">
        <f>X78*AA79*0.5</f>
        <v>0</v>
      </c>
      <c r="V101" s="30" t="s">
        <v>90</v>
      </c>
      <c r="W101" s="37">
        <f>W84</f>
        <v>75</v>
      </c>
      <c r="X101" s="32" t="s">
        <v>93</v>
      </c>
      <c r="Y101" s="28">
        <f>Y84*W99</f>
        <v>0</v>
      </c>
      <c r="Z101" s="32" t="s">
        <v>6</v>
      </c>
      <c r="AA101" s="28"/>
      <c r="AB101" s="28"/>
      <c r="AC101" s="33">
        <f>U101*W101*Y101</f>
        <v>0</v>
      </c>
      <c r="AE101" s="29">
        <f>AH78*AK79*0.5</f>
        <v>0</v>
      </c>
      <c r="AF101" s="30" t="s">
        <v>90</v>
      </c>
      <c r="AG101" s="37">
        <f>AG84</f>
        <v>75</v>
      </c>
      <c r="AH101" s="32" t="s">
        <v>93</v>
      </c>
      <c r="AI101" s="28">
        <f>AI84*AG99</f>
        <v>0</v>
      </c>
      <c r="AJ101" s="32" t="s">
        <v>6</v>
      </c>
      <c r="AK101" s="28"/>
      <c r="AL101" s="28"/>
      <c r="AM101" s="33">
        <f>AE101*AG101*AI101</f>
        <v>0</v>
      </c>
    </row>
    <row r="102" spans="1:39" ht="11.1" customHeight="1">
      <c r="A102" s="29">
        <f>D78*G79*0.2</f>
        <v>0</v>
      </c>
      <c r="B102" s="30" t="s">
        <v>91</v>
      </c>
      <c r="C102" s="37">
        <f>C85</f>
        <v>88</v>
      </c>
      <c r="D102" s="32" t="s">
        <v>93</v>
      </c>
      <c r="E102" s="28">
        <f>E85*C99</f>
        <v>0</v>
      </c>
      <c r="F102" s="32" t="s">
        <v>6</v>
      </c>
      <c r="G102" s="28"/>
      <c r="H102" s="28"/>
      <c r="I102" s="33">
        <f>A102*C102*E102</f>
        <v>0</v>
      </c>
      <c r="K102" s="29">
        <f>N78*Q79*0.2</f>
        <v>0</v>
      </c>
      <c r="L102" s="30" t="s">
        <v>91</v>
      </c>
      <c r="M102" s="37">
        <f>M85</f>
        <v>88</v>
      </c>
      <c r="N102" s="32" t="s">
        <v>93</v>
      </c>
      <c r="O102" s="28">
        <f>O85*M99</f>
        <v>0</v>
      </c>
      <c r="P102" s="32" t="s">
        <v>6</v>
      </c>
      <c r="Q102" s="28"/>
      <c r="R102" s="28"/>
      <c r="S102" s="33">
        <f>K102*M102*O102</f>
        <v>0</v>
      </c>
      <c r="U102" s="29">
        <f>X78*AA79*0.2</f>
        <v>0</v>
      </c>
      <c r="V102" s="30" t="s">
        <v>91</v>
      </c>
      <c r="W102" s="37">
        <f>W85</f>
        <v>88</v>
      </c>
      <c r="X102" s="32" t="s">
        <v>93</v>
      </c>
      <c r="Y102" s="28">
        <f>Y85*W99</f>
        <v>0</v>
      </c>
      <c r="Z102" s="32" t="s">
        <v>6</v>
      </c>
      <c r="AA102" s="28"/>
      <c r="AB102" s="28"/>
      <c r="AC102" s="33">
        <f>U102*W102*Y102</f>
        <v>0</v>
      </c>
      <c r="AE102" s="29">
        <f>AH78*AK79*0.2</f>
        <v>0</v>
      </c>
      <c r="AF102" s="30" t="s">
        <v>91</v>
      </c>
      <c r="AG102" s="37">
        <f>AG85</f>
        <v>88</v>
      </c>
      <c r="AH102" s="32" t="s">
        <v>93</v>
      </c>
      <c r="AI102" s="28">
        <f>AI85*AG99</f>
        <v>0</v>
      </c>
      <c r="AJ102" s="32" t="s">
        <v>6</v>
      </c>
      <c r="AK102" s="28"/>
      <c r="AL102" s="28"/>
      <c r="AM102" s="33">
        <f>AE102*AG102*AI102</f>
        <v>0</v>
      </c>
    </row>
    <row r="103" spans="1:39" ht="11.1" customHeight="1">
      <c r="A103" s="41">
        <f>SUM(A83:A102)</f>
        <v>500</v>
      </c>
      <c r="B103" s="34" t="s">
        <v>95</v>
      </c>
      <c r="C103" s="26"/>
      <c r="D103" s="26"/>
      <c r="E103" s="26"/>
      <c r="F103" s="26"/>
      <c r="G103" s="26"/>
      <c r="H103" s="26"/>
      <c r="I103" s="35"/>
      <c r="K103" s="41">
        <f>SUM(K83:K102)</f>
        <v>500</v>
      </c>
      <c r="L103" s="34" t="s">
        <v>95</v>
      </c>
      <c r="M103" s="26"/>
      <c r="N103" s="26"/>
      <c r="O103" s="26"/>
      <c r="P103" s="26"/>
      <c r="Q103" s="26"/>
      <c r="R103" s="26"/>
      <c r="S103" s="35"/>
      <c r="U103" s="41">
        <f>SUM(U83:U102)</f>
        <v>500</v>
      </c>
      <c r="V103" s="34" t="s">
        <v>95</v>
      </c>
      <c r="W103" s="26"/>
      <c r="X103" s="26"/>
      <c r="Y103" s="26"/>
      <c r="Z103" s="26"/>
      <c r="AA103" s="26"/>
      <c r="AB103" s="26"/>
      <c r="AC103" s="35"/>
      <c r="AE103" s="41">
        <f>SUM(AE83:AE102)</f>
        <v>500</v>
      </c>
      <c r="AF103" s="34" t="s">
        <v>95</v>
      </c>
      <c r="AG103" s="26"/>
      <c r="AH103" s="26"/>
      <c r="AI103" s="26"/>
      <c r="AJ103" s="26"/>
      <c r="AK103" s="26"/>
      <c r="AL103" s="26"/>
      <c r="AM103" s="35"/>
    </row>
    <row r="104" spans="1:39" ht="11.1" customHeight="1">
      <c r="A104" s="25" t="s">
        <v>4</v>
      </c>
      <c r="B104" s="26"/>
      <c r="C104" s="26"/>
      <c r="D104" s="26"/>
      <c r="E104" s="26"/>
      <c r="F104" s="26"/>
      <c r="G104" s="26"/>
      <c r="H104" s="26"/>
      <c r="I104" s="42">
        <f>SUM(I83:I102)</f>
        <v>92587035</v>
      </c>
      <c r="K104" s="25" t="s">
        <v>4</v>
      </c>
      <c r="L104" s="26"/>
      <c r="M104" s="26"/>
      <c r="N104" s="26"/>
      <c r="O104" s="26"/>
      <c r="P104" s="26"/>
      <c r="Q104" s="26"/>
      <c r="R104" s="26"/>
      <c r="S104" s="42">
        <f>SUM(S83:S102)</f>
        <v>86564480</v>
      </c>
      <c r="U104" s="25" t="s">
        <v>4</v>
      </c>
      <c r="V104" s="26"/>
      <c r="W104" s="26"/>
      <c r="X104" s="26"/>
      <c r="Y104" s="26"/>
      <c r="Z104" s="26"/>
      <c r="AA104" s="26"/>
      <c r="AB104" s="26"/>
      <c r="AC104" s="42">
        <f>SUM(AC83:AC102)</f>
        <v>80939160</v>
      </c>
      <c r="AE104" s="25" t="s">
        <v>4</v>
      </c>
      <c r="AF104" s="26"/>
      <c r="AG104" s="26"/>
      <c r="AH104" s="26"/>
      <c r="AI104" s="26"/>
      <c r="AJ104" s="26"/>
      <c r="AK104" s="26"/>
      <c r="AL104" s="26"/>
      <c r="AM104" s="42">
        <f>SUM(AM83:AM102)</f>
        <v>80165980</v>
      </c>
    </row>
    <row r="105" ht="11.1" customHeight="1"/>
    <row r="106" spans="1:39" ht="11.1" customHeight="1">
      <c r="A106" s="25" t="s">
        <v>8</v>
      </c>
      <c r="B106" s="26"/>
      <c r="C106" s="26"/>
      <c r="D106" s="26"/>
      <c r="E106" s="26"/>
      <c r="F106" s="26"/>
      <c r="G106" s="26"/>
      <c r="H106" s="26"/>
      <c r="I106" s="40"/>
      <c r="K106" s="25" t="s">
        <v>8</v>
      </c>
      <c r="L106" s="26"/>
      <c r="M106" s="26"/>
      <c r="N106" s="26"/>
      <c r="O106" s="26"/>
      <c r="P106" s="26"/>
      <c r="Q106" s="26"/>
      <c r="R106" s="26"/>
      <c r="S106" s="40"/>
      <c r="U106" s="25" t="s">
        <v>8</v>
      </c>
      <c r="V106" s="26"/>
      <c r="W106" s="26"/>
      <c r="X106" s="26"/>
      <c r="Y106" s="26"/>
      <c r="Z106" s="26"/>
      <c r="AA106" s="26"/>
      <c r="AB106" s="26"/>
      <c r="AC106" s="40"/>
      <c r="AE106" s="25" t="s">
        <v>8</v>
      </c>
      <c r="AF106" s="26"/>
      <c r="AG106" s="26"/>
      <c r="AH106" s="26"/>
      <c r="AI106" s="26"/>
      <c r="AJ106" s="26"/>
      <c r="AK106" s="26"/>
      <c r="AL106" s="26"/>
      <c r="AM106" s="40"/>
    </row>
    <row r="107" spans="1:39" ht="11.1" customHeight="1">
      <c r="A107" s="16" t="s">
        <v>9</v>
      </c>
      <c r="B107" s="30" t="s">
        <v>36</v>
      </c>
      <c r="C107" s="43">
        <f>A83</f>
        <v>0</v>
      </c>
      <c r="D107" s="32" t="s">
        <v>96</v>
      </c>
      <c r="E107" s="18">
        <f>'Land Values'!D12</f>
        <v>7232.95</v>
      </c>
      <c r="F107" s="32" t="s">
        <v>97</v>
      </c>
      <c r="G107" s="28"/>
      <c r="H107" s="28"/>
      <c r="I107" s="33">
        <f>C107*E107</f>
        <v>0</v>
      </c>
      <c r="K107" s="16" t="s">
        <v>9</v>
      </c>
      <c r="L107" s="30" t="s">
        <v>36</v>
      </c>
      <c r="M107" s="43">
        <f>K83</f>
        <v>0</v>
      </c>
      <c r="N107" s="32" t="s">
        <v>96</v>
      </c>
      <c r="O107" s="18">
        <f>'Land Values'!E12</f>
        <v>7232.95</v>
      </c>
      <c r="P107" s="32" t="s">
        <v>97</v>
      </c>
      <c r="Q107" s="28"/>
      <c r="R107" s="28"/>
      <c r="S107" s="33">
        <f>M107*O107</f>
        <v>0</v>
      </c>
      <c r="U107" s="16" t="s">
        <v>9</v>
      </c>
      <c r="V107" s="30" t="s">
        <v>36</v>
      </c>
      <c r="W107" s="43">
        <f>U83</f>
        <v>0</v>
      </c>
      <c r="X107" s="32" t="s">
        <v>96</v>
      </c>
      <c r="Y107" s="18">
        <f>'Land Values'!F12</f>
        <v>7232.95</v>
      </c>
      <c r="Z107" s="32" t="s">
        <v>97</v>
      </c>
      <c r="AA107" s="28"/>
      <c r="AB107" s="28"/>
      <c r="AC107" s="33">
        <f>W107*Y107</f>
        <v>0</v>
      </c>
      <c r="AE107" s="16" t="s">
        <v>9</v>
      </c>
      <c r="AF107" s="30" t="s">
        <v>36</v>
      </c>
      <c r="AG107" s="43">
        <f>AE83</f>
        <v>0</v>
      </c>
      <c r="AH107" s="32" t="s">
        <v>96</v>
      </c>
      <c r="AI107" s="18">
        <f>'Land Values'!G12</f>
        <v>8401.735</v>
      </c>
      <c r="AJ107" s="32" t="s">
        <v>97</v>
      </c>
      <c r="AK107" s="28"/>
      <c r="AL107" s="28"/>
      <c r="AM107" s="33">
        <f>AG107*AI107</f>
        <v>0</v>
      </c>
    </row>
    <row r="108" spans="1:39" ht="11.1" customHeight="1">
      <c r="A108" s="17"/>
      <c r="B108" s="30" t="s">
        <v>98</v>
      </c>
      <c r="C108" s="43">
        <f>A84</f>
        <v>90</v>
      </c>
      <c r="D108" s="32" t="s">
        <v>96</v>
      </c>
      <c r="E108" s="18">
        <f>'Land Values'!D20</f>
        <v>18082.375</v>
      </c>
      <c r="F108" s="32" t="s">
        <v>97</v>
      </c>
      <c r="G108" s="28"/>
      <c r="H108" s="28"/>
      <c r="I108" s="33">
        <f>C108*E108</f>
        <v>1627413.75</v>
      </c>
      <c r="K108" s="17"/>
      <c r="L108" s="30" t="s">
        <v>98</v>
      </c>
      <c r="M108" s="43">
        <f>K84</f>
        <v>80</v>
      </c>
      <c r="N108" s="32" t="s">
        <v>96</v>
      </c>
      <c r="O108" s="18">
        <f>'Land Values'!E20</f>
        <v>18082.375</v>
      </c>
      <c r="P108" s="32" t="s">
        <v>97</v>
      </c>
      <c r="Q108" s="28"/>
      <c r="R108" s="28"/>
      <c r="S108" s="33">
        <f>M108*O108</f>
        <v>1446590</v>
      </c>
      <c r="U108" s="17"/>
      <c r="V108" s="30" t="s">
        <v>98</v>
      </c>
      <c r="W108" s="43">
        <f>U84</f>
        <v>70</v>
      </c>
      <c r="X108" s="32" t="s">
        <v>96</v>
      </c>
      <c r="Y108" s="18">
        <f>'Land Values'!F20</f>
        <v>18082.375</v>
      </c>
      <c r="Z108" s="32" t="s">
        <v>97</v>
      </c>
      <c r="AA108" s="28"/>
      <c r="AB108" s="28"/>
      <c r="AC108" s="33">
        <f>W108*Y108</f>
        <v>1265766.25</v>
      </c>
      <c r="AE108" s="17"/>
      <c r="AF108" s="30" t="s">
        <v>98</v>
      </c>
      <c r="AG108" s="43">
        <f>AE84</f>
        <v>60</v>
      </c>
      <c r="AH108" s="32" t="s">
        <v>96</v>
      </c>
      <c r="AI108" s="18">
        <f>'Land Values'!G20</f>
        <v>21004.3375</v>
      </c>
      <c r="AJ108" s="32" t="s">
        <v>97</v>
      </c>
      <c r="AK108" s="28"/>
      <c r="AL108" s="28"/>
      <c r="AM108" s="33">
        <f>AG108*AI108</f>
        <v>1260260.25</v>
      </c>
    </row>
    <row r="109" spans="1:39" ht="11.1" customHeight="1">
      <c r="A109" s="17"/>
      <c r="B109" s="30" t="s">
        <v>91</v>
      </c>
      <c r="C109" s="43">
        <f>A85</f>
        <v>180</v>
      </c>
      <c r="D109" s="32" t="s">
        <v>96</v>
      </c>
      <c r="E109" s="18">
        <f>'Land Values'!D28</f>
        <v>20665.571428571431</v>
      </c>
      <c r="F109" s="32" t="s">
        <v>97</v>
      </c>
      <c r="G109" s="28"/>
      <c r="H109" s="28"/>
      <c r="I109" s="33">
        <f>C109*E109</f>
        <v>3719802.8571428577</v>
      </c>
      <c r="K109" s="17"/>
      <c r="L109" s="30" t="s">
        <v>91</v>
      </c>
      <c r="M109" s="43">
        <f>K85</f>
        <v>160</v>
      </c>
      <c r="N109" s="32" t="s">
        <v>96</v>
      </c>
      <c r="O109" s="18">
        <f>'Land Values'!E28</f>
        <v>20665.571428571431</v>
      </c>
      <c r="P109" s="32" t="s">
        <v>97</v>
      </c>
      <c r="Q109" s="28"/>
      <c r="R109" s="28"/>
      <c r="S109" s="33">
        <f>M109*O109</f>
        <v>3306491.4285714291</v>
      </c>
      <c r="U109" s="17"/>
      <c r="V109" s="30" t="s">
        <v>91</v>
      </c>
      <c r="W109" s="43">
        <f>U85</f>
        <v>140</v>
      </c>
      <c r="X109" s="32" t="s">
        <v>96</v>
      </c>
      <c r="Y109" s="18">
        <f>'Land Values'!F28</f>
        <v>20665.571428571431</v>
      </c>
      <c r="Z109" s="32" t="s">
        <v>97</v>
      </c>
      <c r="AA109" s="28"/>
      <c r="AB109" s="28"/>
      <c r="AC109" s="33">
        <f>W109*Y109</f>
        <v>2893180.0000000005</v>
      </c>
      <c r="AE109" s="17"/>
      <c r="AF109" s="30" t="s">
        <v>91</v>
      </c>
      <c r="AG109" s="43">
        <f>AE85</f>
        <v>120</v>
      </c>
      <c r="AH109" s="32" t="s">
        <v>96</v>
      </c>
      <c r="AI109" s="18">
        <f>'Land Values'!G28</f>
        <v>24004.95714285714</v>
      </c>
      <c r="AJ109" s="32" t="s">
        <v>97</v>
      </c>
      <c r="AK109" s="28"/>
      <c r="AL109" s="28"/>
      <c r="AM109" s="33">
        <f>AG109*AI109</f>
        <v>2880594.8571428568</v>
      </c>
    </row>
    <row r="110" spans="1:39" ht="11.1" customHeight="1">
      <c r="A110" s="17"/>
      <c r="B110" s="30" t="s">
        <v>99</v>
      </c>
      <c r="C110" s="43">
        <f>A86</f>
        <v>135</v>
      </c>
      <c r="D110" s="32" t="s">
        <v>96</v>
      </c>
      <c r="E110" s="18">
        <f>'Land Values'!D36</f>
        <v>28931.8</v>
      </c>
      <c r="F110" s="32" t="s">
        <v>97</v>
      </c>
      <c r="G110" s="28"/>
      <c r="H110" s="28"/>
      <c r="I110" s="33">
        <f>C110*E110</f>
        <v>3905793</v>
      </c>
      <c r="K110" s="17"/>
      <c r="L110" s="30" t="s">
        <v>99</v>
      </c>
      <c r="M110" s="43">
        <f>K86</f>
        <v>120</v>
      </c>
      <c r="N110" s="32" t="s">
        <v>96</v>
      </c>
      <c r="O110" s="18">
        <f>'Land Values'!E36</f>
        <v>28931.8</v>
      </c>
      <c r="P110" s="32" t="s">
        <v>97</v>
      </c>
      <c r="Q110" s="28"/>
      <c r="R110" s="28"/>
      <c r="S110" s="33">
        <f>M110*O110</f>
        <v>3471816</v>
      </c>
      <c r="U110" s="17"/>
      <c r="V110" s="30" t="s">
        <v>99</v>
      </c>
      <c r="W110" s="43">
        <f>U86</f>
        <v>105</v>
      </c>
      <c r="X110" s="32" t="s">
        <v>96</v>
      </c>
      <c r="Y110" s="18">
        <f>'Land Values'!F36</f>
        <v>28931.8</v>
      </c>
      <c r="Z110" s="32" t="s">
        <v>97</v>
      </c>
      <c r="AA110" s="28"/>
      <c r="AB110" s="28"/>
      <c r="AC110" s="33">
        <f>W110*Y110</f>
        <v>3037839</v>
      </c>
      <c r="AE110" s="17"/>
      <c r="AF110" s="30" t="s">
        <v>99</v>
      </c>
      <c r="AG110" s="43">
        <f>AE86</f>
        <v>90</v>
      </c>
      <c r="AH110" s="32" t="s">
        <v>96</v>
      </c>
      <c r="AI110" s="18">
        <f>'Land Values'!G36</f>
        <v>33606.94</v>
      </c>
      <c r="AJ110" s="32" t="s">
        <v>97</v>
      </c>
      <c r="AK110" s="28"/>
      <c r="AL110" s="28"/>
      <c r="AM110" s="33">
        <f>AG110*AI110</f>
        <v>3024624.6</v>
      </c>
    </row>
    <row r="111" spans="1:39" ht="11.1" customHeight="1">
      <c r="A111" s="4"/>
      <c r="B111" s="30" t="s">
        <v>100</v>
      </c>
      <c r="C111" s="43">
        <f>A87</f>
        <v>45</v>
      </c>
      <c r="D111" s="32" t="s">
        <v>96</v>
      </c>
      <c r="E111" s="18">
        <f>'Land Values'!D44</f>
        <v>36164.75</v>
      </c>
      <c r="F111" s="32" t="s">
        <v>97</v>
      </c>
      <c r="G111" s="155" t="s">
        <v>126</v>
      </c>
      <c r="H111" s="156">
        <f>SUM(I107:I111)</f>
        <v>10880423.357142858</v>
      </c>
      <c r="I111" s="33">
        <f>C111*E111</f>
        <v>1627413.75</v>
      </c>
      <c r="K111" s="4"/>
      <c r="L111" s="30" t="s">
        <v>100</v>
      </c>
      <c r="M111" s="43">
        <f>K87</f>
        <v>40</v>
      </c>
      <c r="N111" s="32" t="s">
        <v>96</v>
      </c>
      <c r="O111" s="18">
        <f>'Land Values'!E44</f>
        <v>36164.75</v>
      </c>
      <c r="P111" s="32" t="s">
        <v>97</v>
      </c>
      <c r="Q111" s="155" t="s">
        <v>126</v>
      </c>
      <c r="R111" s="156">
        <f>SUM(S107:S111)</f>
        <v>9671487.42857143</v>
      </c>
      <c r="S111" s="33">
        <f>M111*O111</f>
        <v>1446590</v>
      </c>
      <c r="U111" s="4"/>
      <c r="V111" s="30" t="s">
        <v>100</v>
      </c>
      <c r="W111" s="43">
        <f>U87</f>
        <v>35</v>
      </c>
      <c r="X111" s="32" t="s">
        <v>96</v>
      </c>
      <c r="Y111" s="18">
        <f>'Land Values'!F44</f>
        <v>36164.75</v>
      </c>
      <c r="Z111" s="32" t="s">
        <v>97</v>
      </c>
      <c r="AA111" s="155" t="s">
        <v>126</v>
      </c>
      <c r="AB111" s="156">
        <f>SUM(AC107:AC111)</f>
        <v>8462551.5</v>
      </c>
      <c r="AC111" s="33">
        <f>W111*Y111</f>
        <v>1265766.25</v>
      </c>
      <c r="AE111" s="4"/>
      <c r="AF111" s="30" t="s">
        <v>100</v>
      </c>
      <c r="AG111" s="43">
        <f>AE87</f>
        <v>30</v>
      </c>
      <c r="AH111" s="32" t="s">
        <v>96</v>
      </c>
      <c r="AI111" s="18">
        <f>'Land Values'!G44</f>
        <v>42008.675</v>
      </c>
      <c r="AJ111" s="32" t="s">
        <v>97</v>
      </c>
      <c r="AK111" s="155" t="s">
        <v>126</v>
      </c>
      <c r="AL111" s="156">
        <f>SUM(AM107:AM111)</f>
        <v>8425739.957142856</v>
      </c>
      <c r="AM111" s="33">
        <f>AG111*AI111</f>
        <v>1260260.25</v>
      </c>
    </row>
    <row r="112" spans="1:39" ht="11.1" customHeight="1">
      <c r="A112" s="17" t="s">
        <v>101</v>
      </c>
      <c r="B112" s="17"/>
      <c r="C112" s="28"/>
      <c r="D112" s="44"/>
      <c r="E112" s="45">
        <f>IF(H111&lt;125000,0%,IF(H111&lt;250000,1%,IF(H111&lt;500000,3%,IF(H111&lt;1000000,4%,IF(H111&gt;1000000,5%)))))</f>
        <v>0.05</v>
      </c>
      <c r="F112" s="32"/>
      <c r="G112" s="28"/>
      <c r="H112" s="28"/>
      <c r="I112" s="33">
        <f>SUM(I107:I111)*E112</f>
        <v>544021.167857143</v>
      </c>
      <c r="K112" s="17" t="s">
        <v>101</v>
      </c>
      <c r="L112" s="17"/>
      <c r="M112" s="28"/>
      <c r="N112" s="44"/>
      <c r="O112" s="45">
        <f>IF(R111&lt;125000,0%,IF(R111&lt;250000,1%,IF(R111&lt;500000,3%,IF(R111&lt;1000000,4%,IF(R111&gt;1000000,5%)))))</f>
        <v>0.05</v>
      </c>
      <c r="P112" s="32"/>
      <c r="Q112" s="28"/>
      <c r="R112" s="28"/>
      <c r="S112" s="33">
        <f>SUM(S107:S111)*O112</f>
        <v>483574.37142857147</v>
      </c>
      <c r="U112" s="17" t="s">
        <v>101</v>
      </c>
      <c r="V112" s="17"/>
      <c r="W112" s="28"/>
      <c r="X112" s="44"/>
      <c r="Y112" s="45">
        <f>IF(AB111&lt;125000,0%,IF(AB111&lt;250000,1%,IF(AB111&lt;500000,3%,IF(AB111&lt;1000000,4%,IF(AB111&gt;1000000,5%)))))</f>
        <v>0.05</v>
      </c>
      <c r="Z112" s="32"/>
      <c r="AA112" s="28"/>
      <c r="AB112" s="28"/>
      <c r="AC112" s="33">
        <f>SUM(AC107:AC111)*Y112</f>
        <v>423127.575</v>
      </c>
      <c r="AE112" s="17" t="s">
        <v>101</v>
      </c>
      <c r="AF112" s="17"/>
      <c r="AG112" s="28"/>
      <c r="AH112" s="44"/>
      <c r="AI112" s="45">
        <f>IF(AL111&lt;125000,0%,IF(AL111&lt;250000,1%,IF(AL111&lt;500000,3%,IF(AL111&lt;1000000,4%,IF(AL111&gt;1000000,5%)))))</f>
        <v>0.05</v>
      </c>
      <c r="AJ112" s="32"/>
      <c r="AK112" s="28"/>
      <c r="AL112" s="28"/>
      <c r="AM112" s="33">
        <f>SUM(AM107:AM111)*AI112</f>
        <v>421286.99785714282</v>
      </c>
    </row>
    <row r="113" spans="1:39" ht="11.1" customHeight="1">
      <c r="A113" s="25" t="s">
        <v>10</v>
      </c>
      <c r="B113" s="26"/>
      <c r="C113" s="26"/>
      <c r="D113" s="34"/>
      <c r="E113" s="26"/>
      <c r="F113" s="34"/>
      <c r="G113" s="26"/>
      <c r="H113" s="26"/>
      <c r="I113" s="40"/>
      <c r="K113" s="25" t="s">
        <v>10</v>
      </c>
      <c r="L113" s="26"/>
      <c r="M113" s="26"/>
      <c r="N113" s="34"/>
      <c r="O113" s="26"/>
      <c r="P113" s="34"/>
      <c r="Q113" s="26"/>
      <c r="R113" s="26"/>
      <c r="S113" s="40"/>
      <c r="U113" s="25" t="s">
        <v>10</v>
      </c>
      <c r="V113" s="26"/>
      <c r="W113" s="26"/>
      <c r="X113" s="34"/>
      <c r="Y113" s="26"/>
      <c r="Z113" s="34"/>
      <c r="AA113" s="26"/>
      <c r="AB113" s="26"/>
      <c r="AC113" s="40"/>
      <c r="AE113" s="25" t="s">
        <v>10</v>
      </c>
      <c r="AF113" s="26"/>
      <c r="AG113" s="26"/>
      <c r="AH113" s="34"/>
      <c r="AI113" s="26"/>
      <c r="AJ113" s="34"/>
      <c r="AK113" s="26"/>
      <c r="AL113" s="26"/>
      <c r="AM113" s="40"/>
    </row>
    <row r="114" spans="1:39" ht="11.1" customHeight="1">
      <c r="A114" s="29">
        <f>A83+A90+A95+A100</f>
        <v>0</v>
      </c>
      <c r="B114" s="30" t="s">
        <v>36</v>
      </c>
      <c r="C114" s="28"/>
      <c r="D114" s="32"/>
      <c r="E114" s="18">
        <f>Assumptions!$G$22</f>
        <v>1096</v>
      </c>
      <c r="F114" s="32" t="s">
        <v>6</v>
      </c>
      <c r="G114" s="46">
        <f>Assumptions!$D$22</f>
        <v>1.15</v>
      </c>
      <c r="H114" s="32" t="s">
        <v>11</v>
      </c>
      <c r="I114" s="33">
        <f>(A83*C83*E114*G114)+(A90*C90*E114*G114)</f>
        <v>0</v>
      </c>
      <c r="K114" s="29">
        <f>K83+K90+K95+K100</f>
        <v>0</v>
      </c>
      <c r="L114" s="30" t="s">
        <v>36</v>
      </c>
      <c r="M114" s="28"/>
      <c r="N114" s="32"/>
      <c r="O114" s="18">
        <f>Assumptions!$G$22</f>
        <v>1096</v>
      </c>
      <c r="P114" s="32" t="s">
        <v>6</v>
      </c>
      <c r="Q114" s="46">
        <f>Assumptions!$D$22</f>
        <v>1.15</v>
      </c>
      <c r="R114" s="32" t="s">
        <v>11</v>
      </c>
      <c r="S114" s="33">
        <f>(K83*M83*O114*Q114)+(K90*M90*O114*Q114)</f>
        <v>0</v>
      </c>
      <c r="U114" s="29">
        <f>U83+U90+U95+U100</f>
        <v>0</v>
      </c>
      <c r="V114" s="30" t="s">
        <v>36</v>
      </c>
      <c r="W114" s="28"/>
      <c r="X114" s="32"/>
      <c r="Y114" s="18">
        <f>Assumptions!$G$22</f>
        <v>1096</v>
      </c>
      <c r="Z114" s="32" t="s">
        <v>6</v>
      </c>
      <c r="AA114" s="46">
        <f>Assumptions!$D$22</f>
        <v>1.15</v>
      </c>
      <c r="AB114" s="32" t="s">
        <v>11</v>
      </c>
      <c r="AC114" s="33">
        <f>(U83*W83*Y114*AA114)+(U90*W90*Y114*AA114)</f>
        <v>0</v>
      </c>
      <c r="AE114" s="29">
        <f>AE83+AE90+AE95+AE100</f>
        <v>0</v>
      </c>
      <c r="AF114" s="30" t="s">
        <v>36</v>
      </c>
      <c r="AG114" s="28"/>
      <c r="AH114" s="32"/>
      <c r="AI114" s="18">
        <f>Assumptions!$G$22</f>
        <v>1096</v>
      </c>
      <c r="AJ114" s="32" t="s">
        <v>6</v>
      </c>
      <c r="AK114" s="46">
        <f>Assumptions!$D$22</f>
        <v>1.15</v>
      </c>
      <c r="AL114" s="32" t="s">
        <v>11</v>
      </c>
      <c r="AM114" s="33">
        <f>(AE83*AG83*AI114*AK114)+(AE90*AG90*AI114*AK114)</f>
        <v>0</v>
      </c>
    </row>
    <row r="115" spans="1:39" ht="11.1" customHeight="1">
      <c r="A115" s="29">
        <f>A84+A91+A96+A101</f>
        <v>125</v>
      </c>
      <c r="B115" s="30" t="s">
        <v>102</v>
      </c>
      <c r="C115" s="28"/>
      <c r="D115" s="32"/>
      <c r="E115" s="18">
        <f>Assumptions!$G$23</f>
        <v>899</v>
      </c>
      <c r="F115" s="32" t="s">
        <v>6</v>
      </c>
      <c r="G115" s="28"/>
      <c r="H115" s="28"/>
      <c r="I115" s="33">
        <f>(A84*C84*E115)+(A91*C91*E115)</f>
        <v>8679845</v>
      </c>
      <c r="K115" s="29">
        <f>K84+K91+K96+K101</f>
        <v>150</v>
      </c>
      <c r="L115" s="30" t="s">
        <v>102</v>
      </c>
      <c r="M115" s="28"/>
      <c r="N115" s="32"/>
      <c r="O115" s="18">
        <f>Assumptions!$G$23</f>
        <v>899</v>
      </c>
      <c r="P115" s="32" t="s">
        <v>6</v>
      </c>
      <c r="Q115" s="28"/>
      <c r="R115" s="28"/>
      <c r="S115" s="33">
        <f>(K84*M84*O115)+(K91*M91*O115)</f>
        <v>10617190</v>
      </c>
      <c r="U115" s="29">
        <f>U84+U91+U96+U101</f>
        <v>175</v>
      </c>
      <c r="V115" s="30" t="s">
        <v>102</v>
      </c>
      <c r="W115" s="28"/>
      <c r="X115" s="32"/>
      <c r="Y115" s="18">
        <f>Assumptions!$G$23</f>
        <v>899</v>
      </c>
      <c r="Z115" s="32" t="s">
        <v>6</v>
      </c>
      <c r="AA115" s="28"/>
      <c r="AB115" s="28"/>
      <c r="AC115" s="33">
        <f>(U84*W84*Y115)+(U91*W91*Y115)</f>
        <v>12554535</v>
      </c>
      <c r="AE115" s="29">
        <f>AE84+AE91+AE96+AE101</f>
        <v>200</v>
      </c>
      <c r="AF115" s="30" t="s">
        <v>102</v>
      </c>
      <c r="AG115" s="28"/>
      <c r="AH115" s="32"/>
      <c r="AI115" s="18">
        <f>Assumptions!$G$23</f>
        <v>899</v>
      </c>
      <c r="AJ115" s="32" t="s">
        <v>6</v>
      </c>
      <c r="AK115" s="28"/>
      <c r="AL115" s="28"/>
      <c r="AM115" s="33">
        <f>(AE84*AG84*AI115)+(AE91*AG91*AI115)</f>
        <v>14491880</v>
      </c>
    </row>
    <row r="116" spans="1:39" ht="11.1" customHeight="1">
      <c r="A116" s="29">
        <f>A85+A92+A97+A102</f>
        <v>195</v>
      </c>
      <c r="B116" s="30" t="s">
        <v>103</v>
      </c>
      <c r="C116" s="28"/>
      <c r="D116" s="32"/>
      <c r="E116" s="18">
        <f>Assumptions!$G$24</f>
        <v>899</v>
      </c>
      <c r="F116" s="32" t="s">
        <v>6</v>
      </c>
      <c r="G116" s="28"/>
      <c r="H116" s="28"/>
      <c r="I116" s="33">
        <f>(A85*C85*E116)+(A92*C92*E116)</f>
        <v>15507750</v>
      </c>
      <c r="K116" s="29">
        <f>K85+K92+K97+K102</f>
        <v>190</v>
      </c>
      <c r="L116" s="30" t="s">
        <v>103</v>
      </c>
      <c r="M116" s="28"/>
      <c r="N116" s="32"/>
      <c r="O116" s="18">
        <f>Assumptions!$G$24</f>
        <v>899</v>
      </c>
      <c r="P116" s="32" t="s">
        <v>6</v>
      </c>
      <c r="Q116" s="28"/>
      <c r="R116" s="28"/>
      <c r="S116" s="33">
        <f>(K85*M85*O116)+(K92*M92*O116)</f>
        <v>15193100</v>
      </c>
      <c r="U116" s="29">
        <f>U85+U92+U97+U102</f>
        <v>185</v>
      </c>
      <c r="V116" s="30" t="s">
        <v>103</v>
      </c>
      <c r="W116" s="28"/>
      <c r="X116" s="32"/>
      <c r="Y116" s="18">
        <f>Assumptions!$G$24</f>
        <v>899</v>
      </c>
      <c r="Z116" s="32" t="s">
        <v>6</v>
      </c>
      <c r="AA116" s="28"/>
      <c r="AB116" s="28"/>
      <c r="AC116" s="33">
        <f>(U85*W85*Y116)+(U92*W92*Y116)</f>
        <v>14878450</v>
      </c>
      <c r="AE116" s="29">
        <f>AE85+AE92+AE97+AE102</f>
        <v>180</v>
      </c>
      <c r="AF116" s="30" t="s">
        <v>103</v>
      </c>
      <c r="AG116" s="28"/>
      <c r="AH116" s="32"/>
      <c r="AI116" s="18">
        <f>Assumptions!$G$24</f>
        <v>899</v>
      </c>
      <c r="AJ116" s="32" t="s">
        <v>6</v>
      </c>
      <c r="AK116" s="28"/>
      <c r="AL116" s="28"/>
      <c r="AM116" s="33">
        <f>(AE85*AG85*AI116)+(AE92*AG92*AI116)</f>
        <v>14563800</v>
      </c>
    </row>
    <row r="117" spans="1:39" ht="11.1" customHeight="1">
      <c r="A117" s="29">
        <f>A86</f>
        <v>135</v>
      </c>
      <c r="B117" s="30" t="s">
        <v>104</v>
      </c>
      <c r="C117" s="28"/>
      <c r="D117" s="32"/>
      <c r="E117" s="18">
        <f>Assumptions!$G$25</f>
        <v>899</v>
      </c>
      <c r="F117" s="32" t="s">
        <v>6</v>
      </c>
      <c r="G117" s="28"/>
      <c r="H117" s="28"/>
      <c r="I117" s="33">
        <f>(A86*C86*E117)</f>
        <v>14563800</v>
      </c>
      <c r="K117" s="29">
        <f>K86</f>
        <v>120</v>
      </c>
      <c r="L117" s="30" t="s">
        <v>104</v>
      </c>
      <c r="M117" s="28"/>
      <c r="N117" s="32"/>
      <c r="O117" s="18">
        <f>Assumptions!$G$25</f>
        <v>899</v>
      </c>
      <c r="P117" s="32" t="s">
        <v>6</v>
      </c>
      <c r="Q117" s="28"/>
      <c r="R117" s="28"/>
      <c r="S117" s="33">
        <f>(K86*M86*O117)</f>
        <v>12945600</v>
      </c>
      <c r="U117" s="29">
        <f>U86</f>
        <v>105</v>
      </c>
      <c r="V117" s="30" t="s">
        <v>104</v>
      </c>
      <c r="W117" s="28"/>
      <c r="X117" s="32"/>
      <c r="Y117" s="18">
        <f>Assumptions!$G$25</f>
        <v>899</v>
      </c>
      <c r="Z117" s="32" t="s">
        <v>6</v>
      </c>
      <c r="AA117" s="28"/>
      <c r="AB117" s="28"/>
      <c r="AC117" s="33">
        <f>(U86*W86*Y117)</f>
        <v>11327400</v>
      </c>
      <c r="AE117" s="29">
        <f>AE86</f>
        <v>90</v>
      </c>
      <c r="AF117" s="30" t="s">
        <v>104</v>
      </c>
      <c r="AG117" s="28"/>
      <c r="AH117" s="32"/>
      <c r="AI117" s="18">
        <f>Assumptions!$G$25</f>
        <v>899</v>
      </c>
      <c r="AJ117" s="32" t="s">
        <v>6</v>
      </c>
      <c r="AK117" s="28"/>
      <c r="AL117" s="28"/>
      <c r="AM117" s="33">
        <f>(AE86*AG86*AI117)</f>
        <v>9709200</v>
      </c>
    </row>
    <row r="118" spans="1:39" ht="11.1" customHeight="1">
      <c r="A118" s="29">
        <f>A87</f>
        <v>45</v>
      </c>
      <c r="B118" s="30" t="s">
        <v>105</v>
      </c>
      <c r="C118" s="28"/>
      <c r="D118" s="32"/>
      <c r="E118" s="18">
        <f>Assumptions!$G$26</f>
        <v>899</v>
      </c>
      <c r="F118" s="32" t="s">
        <v>6</v>
      </c>
      <c r="G118" s="28"/>
      <c r="H118" s="28"/>
      <c r="I118" s="33">
        <f>(A87*C87*E118)</f>
        <v>6068250</v>
      </c>
      <c r="K118" s="29">
        <f>K87</f>
        <v>40</v>
      </c>
      <c r="L118" s="30" t="s">
        <v>105</v>
      </c>
      <c r="M118" s="28"/>
      <c r="N118" s="32"/>
      <c r="O118" s="18">
        <f>Assumptions!$G$26</f>
        <v>899</v>
      </c>
      <c r="P118" s="32" t="s">
        <v>6</v>
      </c>
      <c r="Q118" s="28"/>
      <c r="R118" s="28"/>
      <c r="S118" s="33">
        <f>(K87*M87*O118)</f>
        <v>5394000</v>
      </c>
      <c r="U118" s="29">
        <f>U87</f>
        <v>35</v>
      </c>
      <c r="V118" s="30" t="s">
        <v>105</v>
      </c>
      <c r="W118" s="28"/>
      <c r="X118" s="32"/>
      <c r="Y118" s="18">
        <f>Assumptions!$G$26</f>
        <v>899</v>
      </c>
      <c r="Z118" s="32" t="s">
        <v>6</v>
      </c>
      <c r="AA118" s="28"/>
      <c r="AB118" s="28"/>
      <c r="AC118" s="33">
        <f>(U87*W87*Y118)</f>
        <v>4719750</v>
      </c>
      <c r="AE118" s="29">
        <f>AE87</f>
        <v>30</v>
      </c>
      <c r="AF118" s="30" t="s">
        <v>105</v>
      </c>
      <c r="AG118" s="28"/>
      <c r="AH118" s="32"/>
      <c r="AI118" s="18">
        <f>Assumptions!$G$26</f>
        <v>899</v>
      </c>
      <c r="AJ118" s="32" t="s">
        <v>6</v>
      </c>
      <c r="AK118" s="28"/>
      <c r="AL118" s="28"/>
      <c r="AM118" s="33">
        <f>(AE87*AG87*AI118)</f>
        <v>4045500</v>
      </c>
    </row>
    <row r="119" spans="1:39" ht="11.1" customHeight="1">
      <c r="A119" s="38">
        <f>SUM(A114:A118)</f>
        <v>500</v>
      </c>
      <c r="B119" s="26"/>
      <c r="C119" s="47">
        <f>SUM(A114*C114*G114)+(A115*C115)+(A116*C116)+(A117*C117)+(A118*C118)</f>
        <v>0</v>
      </c>
      <c r="D119" s="34" t="s">
        <v>106</v>
      </c>
      <c r="E119" s="26"/>
      <c r="F119" s="34"/>
      <c r="G119" s="26"/>
      <c r="H119" s="26"/>
      <c r="I119" s="40"/>
      <c r="K119" s="38">
        <f>SUM(K114:K118)</f>
        <v>500</v>
      </c>
      <c r="L119" s="26"/>
      <c r="M119" s="47">
        <f>SUM(K114*M114*Q114)+(K115*M115)+(K116*M116)+(K117*M117)+(K118*M118)</f>
        <v>0</v>
      </c>
      <c r="N119" s="34" t="s">
        <v>106</v>
      </c>
      <c r="O119" s="26"/>
      <c r="P119" s="34"/>
      <c r="Q119" s="26"/>
      <c r="R119" s="26"/>
      <c r="S119" s="40"/>
      <c r="U119" s="38">
        <f>SUM(U114:U118)</f>
        <v>500</v>
      </c>
      <c r="V119" s="26"/>
      <c r="W119" s="47">
        <f>SUM(U114*W114*AA114)+(U115*W115)+(U116*W116)+(U117*W117)+(U118*W118)</f>
        <v>0</v>
      </c>
      <c r="X119" s="34" t="s">
        <v>106</v>
      </c>
      <c r="Y119" s="26"/>
      <c r="Z119" s="34"/>
      <c r="AA119" s="26"/>
      <c r="AB119" s="26"/>
      <c r="AC119" s="40"/>
      <c r="AE119" s="38">
        <f>SUM(AE114:AE118)</f>
        <v>500</v>
      </c>
      <c r="AF119" s="26"/>
      <c r="AG119" s="47">
        <f>SUM(AE114*AG114*AK114)+(AE115*AG115)+(AE116*AG116)+(AE117*AG117)+(AE118*AG118)</f>
        <v>0</v>
      </c>
      <c r="AH119" s="34" t="s">
        <v>106</v>
      </c>
      <c r="AI119" s="26"/>
      <c r="AJ119" s="34"/>
      <c r="AK119" s="26"/>
      <c r="AL119" s="26"/>
      <c r="AM119" s="40"/>
    </row>
    <row r="120" spans="1:39" ht="11.1" customHeight="1">
      <c r="A120" s="17" t="s">
        <v>137</v>
      </c>
      <c r="B120" s="4"/>
      <c r="E120" s="71">
        <f>IF(E108&lt;25000,0,IF(E108&gt;25000,(E108*Assumptions!$D$211)))</f>
        <v>0</v>
      </c>
      <c r="F120" s="48" t="s">
        <v>138</v>
      </c>
      <c r="I120" s="33">
        <f>D78*E120</f>
        <v>0</v>
      </c>
      <c r="K120" s="17" t="s">
        <v>137</v>
      </c>
      <c r="L120" s="4"/>
      <c r="O120" s="71">
        <f>IF(O108&lt;25000,0,IF(O108&gt;25000,(O108*Assumptions!$D$211)))</f>
        <v>0</v>
      </c>
      <c r="P120" s="48" t="s">
        <v>138</v>
      </c>
      <c r="S120" s="33">
        <f>N78*O120</f>
        <v>0</v>
      </c>
      <c r="U120" s="17" t="s">
        <v>137</v>
      </c>
      <c r="V120" s="4"/>
      <c r="Y120" s="71">
        <f>IF(Y108&lt;25000,0,IF(Y108&gt;25000,(Y108*Assumptions!$D$211)))</f>
        <v>0</v>
      </c>
      <c r="Z120" s="48" t="s">
        <v>138</v>
      </c>
      <c r="AC120" s="33">
        <f>X78*Y120</f>
        <v>0</v>
      </c>
      <c r="AE120" s="17" t="s">
        <v>137</v>
      </c>
      <c r="AF120" s="4"/>
      <c r="AI120" s="71">
        <f>IF(AI108&lt;25000,0,IF(AI108&gt;25000,(AI108*Assumptions!$D$211)))</f>
        <v>0</v>
      </c>
      <c r="AJ120" s="48" t="s">
        <v>138</v>
      </c>
      <c r="AM120" s="33">
        <f>AH78*AI120</f>
        <v>0</v>
      </c>
    </row>
    <row r="121" spans="1:39" ht="11.1" customHeight="1">
      <c r="A121" s="17" t="s">
        <v>119</v>
      </c>
      <c r="B121" s="17"/>
      <c r="C121" s="49"/>
      <c r="D121" s="28"/>
      <c r="E121" s="73">
        <f>Assumptions!$E$44</f>
        <v>0.08</v>
      </c>
      <c r="F121" s="32" t="s">
        <v>14</v>
      </c>
      <c r="G121" s="28"/>
      <c r="H121" s="28"/>
      <c r="I121" s="33">
        <f>SUM(I114:I118)*E121</f>
        <v>3585571.6</v>
      </c>
      <c r="K121" s="17" t="s">
        <v>119</v>
      </c>
      <c r="L121" s="17"/>
      <c r="M121" s="49"/>
      <c r="N121" s="28"/>
      <c r="O121" s="73">
        <f>Assumptions!$E$44</f>
        <v>0.08</v>
      </c>
      <c r="P121" s="32" t="s">
        <v>14</v>
      </c>
      <c r="Q121" s="28"/>
      <c r="R121" s="28"/>
      <c r="S121" s="33">
        <f>SUM(S114:S118)*O121</f>
        <v>3531991.2</v>
      </c>
      <c r="U121" s="17" t="s">
        <v>119</v>
      </c>
      <c r="V121" s="17"/>
      <c r="W121" s="49"/>
      <c r="X121" s="28"/>
      <c r="Y121" s="73">
        <f>Assumptions!$E$44</f>
        <v>0.08</v>
      </c>
      <c r="Z121" s="32" t="s">
        <v>14</v>
      </c>
      <c r="AA121" s="28"/>
      <c r="AB121" s="28"/>
      <c r="AC121" s="33">
        <f>SUM(AC114:AC118)*Y121</f>
        <v>3478410.8000000003</v>
      </c>
      <c r="AE121" s="17" t="s">
        <v>119</v>
      </c>
      <c r="AF121" s="17"/>
      <c r="AG121" s="49"/>
      <c r="AH121" s="28"/>
      <c r="AI121" s="73">
        <f>Assumptions!$E$44</f>
        <v>0.08</v>
      </c>
      <c r="AJ121" s="32" t="s">
        <v>14</v>
      </c>
      <c r="AK121" s="28"/>
      <c r="AL121" s="28"/>
      <c r="AM121" s="33">
        <f>SUM(AM114:AM118)*AI121</f>
        <v>3424830.4</v>
      </c>
    </row>
    <row r="122" spans="1:39" ht="11.1" customHeight="1">
      <c r="A122" s="17" t="s">
        <v>15</v>
      </c>
      <c r="B122" s="17"/>
      <c r="C122" s="49"/>
      <c r="D122" s="28"/>
      <c r="E122" s="73">
        <f>Assumptions!$E$45</f>
        <v>0.005</v>
      </c>
      <c r="F122" s="32" t="s">
        <v>16</v>
      </c>
      <c r="G122" s="28"/>
      <c r="H122" s="28"/>
      <c r="I122" s="33">
        <f>I104*E122</f>
        <v>462935.175</v>
      </c>
      <c r="K122" s="17" t="s">
        <v>15</v>
      </c>
      <c r="L122" s="17"/>
      <c r="M122" s="49"/>
      <c r="N122" s="28"/>
      <c r="O122" s="73">
        <f>Assumptions!$E$45</f>
        <v>0.005</v>
      </c>
      <c r="P122" s="32" t="s">
        <v>16</v>
      </c>
      <c r="Q122" s="28"/>
      <c r="R122" s="28"/>
      <c r="S122" s="33">
        <f>S104*O122</f>
        <v>432822.4</v>
      </c>
      <c r="U122" s="17" t="s">
        <v>15</v>
      </c>
      <c r="V122" s="17"/>
      <c r="W122" s="49"/>
      <c r="X122" s="28"/>
      <c r="Y122" s="73">
        <f>Assumptions!$E$45</f>
        <v>0.005</v>
      </c>
      <c r="Z122" s="32" t="s">
        <v>16</v>
      </c>
      <c r="AA122" s="28"/>
      <c r="AB122" s="28"/>
      <c r="AC122" s="33">
        <f>AC104*Y122</f>
        <v>404695.8</v>
      </c>
      <c r="AE122" s="17" t="s">
        <v>15</v>
      </c>
      <c r="AF122" s="17"/>
      <c r="AG122" s="49"/>
      <c r="AH122" s="28"/>
      <c r="AI122" s="73">
        <f>Assumptions!$E$45</f>
        <v>0.005</v>
      </c>
      <c r="AJ122" s="32" t="s">
        <v>16</v>
      </c>
      <c r="AK122" s="28"/>
      <c r="AL122" s="28"/>
      <c r="AM122" s="33">
        <f>AM104*AI122</f>
        <v>400829.9</v>
      </c>
    </row>
    <row r="123" spans="1:39" ht="11.1" customHeight="1">
      <c r="A123" s="17" t="s">
        <v>17</v>
      </c>
      <c r="B123" s="17"/>
      <c r="C123" s="49"/>
      <c r="D123" s="28"/>
      <c r="E123" s="73">
        <f>Assumptions!$E$46</f>
        <v>0.011</v>
      </c>
      <c r="F123" s="32" t="s">
        <v>14</v>
      </c>
      <c r="G123" s="28"/>
      <c r="H123" s="28"/>
      <c r="I123" s="33">
        <f>SUM(I114:I118)*E123</f>
        <v>493016.095</v>
      </c>
      <c r="K123" s="17" t="s">
        <v>17</v>
      </c>
      <c r="L123" s="17"/>
      <c r="M123" s="49"/>
      <c r="N123" s="28"/>
      <c r="O123" s="73">
        <f>Assumptions!$E$46</f>
        <v>0.011</v>
      </c>
      <c r="P123" s="32" t="s">
        <v>14</v>
      </c>
      <c r="Q123" s="28"/>
      <c r="R123" s="28"/>
      <c r="S123" s="33">
        <f>SUM(S114:S118)*O123</f>
        <v>485648.79</v>
      </c>
      <c r="U123" s="17" t="s">
        <v>17</v>
      </c>
      <c r="V123" s="17"/>
      <c r="W123" s="49"/>
      <c r="X123" s="28"/>
      <c r="Y123" s="73">
        <f>Assumptions!$E$46</f>
        <v>0.011</v>
      </c>
      <c r="Z123" s="32" t="s">
        <v>14</v>
      </c>
      <c r="AA123" s="28"/>
      <c r="AB123" s="28"/>
      <c r="AC123" s="33">
        <f>SUM(AC114:AC118)*Y123</f>
        <v>478281.485</v>
      </c>
      <c r="AE123" s="17" t="s">
        <v>17</v>
      </c>
      <c r="AF123" s="17"/>
      <c r="AG123" s="49"/>
      <c r="AH123" s="28"/>
      <c r="AI123" s="73">
        <f>Assumptions!$E$46</f>
        <v>0.011</v>
      </c>
      <c r="AJ123" s="32" t="s">
        <v>14</v>
      </c>
      <c r="AK123" s="28"/>
      <c r="AL123" s="28"/>
      <c r="AM123" s="33">
        <f>SUM(AM114:AM118)*AI123</f>
        <v>470914.18</v>
      </c>
    </row>
    <row r="124" spans="1:39" ht="11.1" customHeight="1">
      <c r="A124" s="17" t="s">
        <v>18</v>
      </c>
      <c r="B124" s="17"/>
      <c r="C124" s="49"/>
      <c r="D124" s="28"/>
      <c r="E124" s="73">
        <f>Assumptions!$E$47</f>
        <v>0.02</v>
      </c>
      <c r="F124" s="32" t="s">
        <v>50</v>
      </c>
      <c r="G124" s="28"/>
      <c r="H124" s="28"/>
      <c r="I124" s="33">
        <f>SUM(I83:I87)*E124</f>
        <v>1776060</v>
      </c>
      <c r="K124" s="17" t="s">
        <v>18</v>
      </c>
      <c r="L124" s="17"/>
      <c r="M124" s="49"/>
      <c r="N124" s="28"/>
      <c r="O124" s="73">
        <f>Assumptions!$E$47</f>
        <v>0.02</v>
      </c>
      <c r="P124" s="32" t="s">
        <v>50</v>
      </c>
      <c r="Q124" s="28"/>
      <c r="R124" s="28"/>
      <c r="S124" s="33">
        <f>SUM(S83:S87)*O124</f>
        <v>1578720</v>
      </c>
      <c r="U124" s="17" t="s">
        <v>18</v>
      </c>
      <c r="V124" s="17"/>
      <c r="W124" s="49"/>
      <c r="X124" s="28"/>
      <c r="Y124" s="73">
        <f>Assumptions!$E$47</f>
        <v>0.02</v>
      </c>
      <c r="Z124" s="32" t="s">
        <v>50</v>
      </c>
      <c r="AA124" s="28"/>
      <c r="AB124" s="28"/>
      <c r="AC124" s="33">
        <f>SUM(AC83:AC87)*Y124</f>
        <v>1381380</v>
      </c>
      <c r="AE124" s="17" t="s">
        <v>18</v>
      </c>
      <c r="AF124" s="17"/>
      <c r="AG124" s="49"/>
      <c r="AH124" s="28"/>
      <c r="AI124" s="73">
        <f>Assumptions!$E$47</f>
        <v>0.02</v>
      </c>
      <c r="AJ124" s="32" t="s">
        <v>50</v>
      </c>
      <c r="AK124" s="28"/>
      <c r="AL124" s="28"/>
      <c r="AM124" s="33">
        <f>SUM(AM83:AM87)*AI124</f>
        <v>1244760</v>
      </c>
    </row>
    <row r="125" spans="1:39" ht="11.1" customHeight="1">
      <c r="A125" s="17" t="s">
        <v>19</v>
      </c>
      <c r="B125" s="17"/>
      <c r="C125" s="50"/>
      <c r="D125" s="28"/>
      <c r="E125" s="73">
        <f>Assumptions!$E$48</f>
        <v>0.05</v>
      </c>
      <c r="F125" s="32" t="s">
        <v>14</v>
      </c>
      <c r="G125" s="28"/>
      <c r="H125" s="28"/>
      <c r="I125" s="33">
        <f>SUM(I114:I120)*E125</f>
        <v>2240982.25</v>
      </c>
      <c r="K125" s="17" t="s">
        <v>19</v>
      </c>
      <c r="L125" s="17"/>
      <c r="M125" s="50"/>
      <c r="N125" s="28"/>
      <c r="O125" s="73">
        <f>Assumptions!$E$48</f>
        <v>0.05</v>
      </c>
      <c r="P125" s="32" t="s">
        <v>14</v>
      </c>
      <c r="Q125" s="28"/>
      <c r="R125" s="28"/>
      <c r="S125" s="33">
        <f>SUM(S114:S120)*O125</f>
        <v>2207494.5</v>
      </c>
      <c r="U125" s="17" t="s">
        <v>19</v>
      </c>
      <c r="V125" s="17"/>
      <c r="W125" s="50"/>
      <c r="X125" s="28"/>
      <c r="Y125" s="73">
        <f>Assumptions!$E$48</f>
        <v>0.05</v>
      </c>
      <c r="Z125" s="32" t="s">
        <v>14</v>
      </c>
      <c r="AA125" s="28"/>
      <c r="AB125" s="28"/>
      <c r="AC125" s="33">
        <f>SUM(AC114:AC120)*Y125</f>
        <v>2174006.75</v>
      </c>
      <c r="AE125" s="17" t="s">
        <v>19</v>
      </c>
      <c r="AF125" s="17"/>
      <c r="AG125" s="50"/>
      <c r="AH125" s="28"/>
      <c r="AI125" s="73">
        <f>Assumptions!$E$48</f>
        <v>0.05</v>
      </c>
      <c r="AJ125" s="32" t="s">
        <v>14</v>
      </c>
      <c r="AK125" s="28"/>
      <c r="AL125" s="28"/>
      <c r="AM125" s="33">
        <f>SUM(AM114:AM120)*AI125</f>
        <v>2140519</v>
      </c>
    </row>
    <row r="126" spans="1:39" ht="11.1" customHeight="1">
      <c r="A126" s="17" t="s">
        <v>20</v>
      </c>
      <c r="B126" s="4"/>
      <c r="C126" s="13"/>
      <c r="E126" s="74">
        <f>Assumptions!$E$49</f>
        <v>4000</v>
      </c>
      <c r="F126" s="32" t="s">
        <v>51</v>
      </c>
      <c r="I126" s="36">
        <f>A103*E126</f>
        <v>2000000</v>
      </c>
      <c r="K126" s="17" t="s">
        <v>20</v>
      </c>
      <c r="L126" s="4"/>
      <c r="M126" s="13"/>
      <c r="O126" s="74">
        <f>Assumptions!$E$49</f>
        <v>4000</v>
      </c>
      <c r="P126" s="32" t="s">
        <v>51</v>
      </c>
      <c r="S126" s="36">
        <f>K103*O126</f>
        <v>2000000</v>
      </c>
      <c r="U126" s="17" t="s">
        <v>20</v>
      </c>
      <c r="V126" s="4"/>
      <c r="W126" s="13"/>
      <c r="Y126" s="74">
        <f>Assumptions!$E$49</f>
        <v>4000</v>
      </c>
      <c r="Z126" s="32" t="s">
        <v>51</v>
      </c>
      <c r="AC126" s="36">
        <f>U103*Y126</f>
        <v>2000000</v>
      </c>
      <c r="AE126" s="17" t="s">
        <v>20</v>
      </c>
      <c r="AF126" s="4"/>
      <c r="AG126" s="13"/>
      <c r="AI126" s="74">
        <f>Assumptions!$E$49</f>
        <v>4000</v>
      </c>
      <c r="AJ126" s="32" t="s">
        <v>51</v>
      </c>
      <c r="AM126" s="36">
        <f>AE103*AI126</f>
        <v>2000000</v>
      </c>
    </row>
    <row r="127" spans="1:39" ht="11.1" customHeight="1">
      <c r="A127" s="17" t="s">
        <v>121</v>
      </c>
      <c r="B127" s="17"/>
      <c r="C127" s="45">
        <f>Assumptions!$C$50</f>
        <v>0.05</v>
      </c>
      <c r="D127" s="72">
        <f>Assumptions!$D$50</f>
        <v>12</v>
      </c>
      <c r="E127" s="32" t="s">
        <v>22</v>
      </c>
      <c r="F127" s="28"/>
      <c r="G127" s="71">
        <f>Assumptions!$G$50</f>
        <v>6</v>
      </c>
      <c r="H127" s="32" t="s">
        <v>110</v>
      </c>
      <c r="I127" s="33">
        <f>(((SUM(I107:I112)*POWER((1+C127/12),((D127+G127)/12)*12))-SUM(I107:I112))      +           ((((SUM(I114:I126)*POWER((1+C127/12),((D127+G127)/12)*12))-SUM(I114:I126))*0.5)))</f>
        <v>3039756.8703523315</v>
      </c>
      <c r="K127" s="17" t="s">
        <v>121</v>
      </c>
      <c r="L127" s="17"/>
      <c r="M127" s="45">
        <f>Assumptions!$C$50</f>
        <v>0.05</v>
      </c>
      <c r="N127" s="72">
        <f>Assumptions!$D$50</f>
        <v>12</v>
      </c>
      <c r="O127" s="32" t="s">
        <v>22</v>
      </c>
      <c r="P127" s="28"/>
      <c r="Q127" s="71">
        <f>Assumptions!$G$50</f>
        <v>6</v>
      </c>
      <c r="R127" s="32" t="s">
        <v>110</v>
      </c>
      <c r="S127" s="33">
        <f>(((SUM(S107:S112)*POWER((1+M127/12),((N127+Q127)/12)*12))-SUM(S107:S112))      +           ((((SUM(S114:S126)*POWER((1+M127/12),((N127+Q127)/12)*12))-SUM(S114:S126))*0.5)))</f>
        <v>2902571.8775040079</v>
      </c>
      <c r="U127" s="17" t="s">
        <v>121</v>
      </c>
      <c r="V127" s="17"/>
      <c r="W127" s="45">
        <f>Assumptions!$C$50</f>
        <v>0.05</v>
      </c>
      <c r="X127" s="72">
        <f>Assumptions!$D$50</f>
        <v>12</v>
      </c>
      <c r="Y127" s="32" t="s">
        <v>22</v>
      </c>
      <c r="Z127" s="28"/>
      <c r="AA127" s="71">
        <f>Assumptions!$G$50</f>
        <v>6</v>
      </c>
      <c r="AB127" s="32" t="s">
        <v>110</v>
      </c>
      <c r="AC127" s="33">
        <f>(((SUM(AC107:AC112)*POWER((1+W127/12),((X127+AA127)/12)*12))-SUM(AC107:AC112))      +           ((((SUM(AC114:AC126)*POWER((1+W127/12),((X127+AA127)/12)*12))-SUM(AC114:AC126))*0.5)))</f>
        <v>2765464.0636533219</v>
      </c>
      <c r="AE127" s="17" t="s">
        <v>121</v>
      </c>
      <c r="AF127" s="17"/>
      <c r="AG127" s="45">
        <f>Assumptions!$C$50</f>
        <v>0.05</v>
      </c>
      <c r="AH127" s="72">
        <f>Assumptions!$D$50</f>
        <v>12</v>
      </c>
      <c r="AI127" s="32" t="s">
        <v>22</v>
      </c>
      <c r="AJ127" s="28"/>
      <c r="AK127" s="71">
        <f>Assumptions!$G$50</f>
        <v>6</v>
      </c>
      <c r="AL127" s="32" t="s">
        <v>110</v>
      </c>
      <c r="AM127" s="33">
        <f>(((SUM(AM107:AM112)*POWER((1+AG127/12),((AH127+AK127)/12)*12))-SUM(AM107:AM112))      +           ((((SUM(AM114:AM126)*POWER((1+AG127/12),((AH127+AK127)/12)*12))-SUM(AM114:AM126))*0.5)))</f>
        <v>2727306.1581209041</v>
      </c>
    </row>
    <row r="128" spans="1:39" ht="11.1" customHeight="1">
      <c r="A128" s="17" t="s">
        <v>23</v>
      </c>
      <c r="B128" s="17"/>
      <c r="C128" s="45">
        <f>Assumptions!$C$51</f>
        <v>0</v>
      </c>
      <c r="D128" s="32" t="s">
        <v>24</v>
      </c>
      <c r="E128" s="28"/>
      <c r="F128" s="28"/>
      <c r="G128" s="28"/>
      <c r="H128" s="28"/>
      <c r="I128" s="33">
        <f>SUM(I107:I125)*C128</f>
        <v>0</v>
      </c>
      <c r="K128" s="17" t="s">
        <v>23</v>
      </c>
      <c r="L128" s="17"/>
      <c r="M128" s="45">
        <f>Assumptions!$C$51</f>
        <v>0</v>
      </c>
      <c r="N128" s="32" t="s">
        <v>24</v>
      </c>
      <c r="O128" s="28"/>
      <c r="P128" s="28"/>
      <c r="Q128" s="28"/>
      <c r="R128" s="28"/>
      <c r="S128" s="33">
        <f>SUM(S107:S125)*M128</f>
        <v>0</v>
      </c>
      <c r="U128" s="17" t="s">
        <v>23</v>
      </c>
      <c r="V128" s="17"/>
      <c r="W128" s="45">
        <f>Assumptions!$C$51</f>
        <v>0</v>
      </c>
      <c r="X128" s="32" t="s">
        <v>24</v>
      </c>
      <c r="Y128" s="28"/>
      <c r="Z128" s="28"/>
      <c r="AA128" s="28"/>
      <c r="AB128" s="28"/>
      <c r="AC128" s="33">
        <f>SUM(AC107:AC125)*W128</f>
        <v>0</v>
      </c>
      <c r="AE128" s="17" t="s">
        <v>23</v>
      </c>
      <c r="AF128" s="17"/>
      <c r="AG128" s="45">
        <f>Assumptions!$C$51</f>
        <v>0</v>
      </c>
      <c r="AH128" s="32" t="s">
        <v>24</v>
      </c>
      <c r="AI128" s="28"/>
      <c r="AJ128" s="28"/>
      <c r="AK128" s="28"/>
      <c r="AL128" s="28"/>
      <c r="AM128" s="33">
        <f>SUM(AM107:AM125)*AG128</f>
        <v>0</v>
      </c>
    </row>
    <row r="129" spans="1:39" ht="11.1" customHeight="1">
      <c r="A129" s="17" t="s">
        <v>25</v>
      </c>
      <c r="B129" s="17"/>
      <c r="C129" s="155" t="s">
        <v>155</v>
      </c>
      <c r="D129" s="45">
        <f>Assumptions!$D$52</f>
        <v>0.2</v>
      </c>
      <c r="E129" s="32" t="s">
        <v>26</v>
      </c>
      <c r="F129" s="155" t="s">
        <v>156</v>
      </c>
      <c r="G129" s="45">
        <f>Assumptions!$G$52</f>
        <v>0.06</v>
      </c>
      <c r="H129" s="32" t="s">
        <v>26</v>
      </c>
      <c r="I129" s="33">
        <f>SUM(I83:I87)*D129+SUM(I90:I102)*G129</f>
        <v>17987642.1</v>
      </c>
      <c r="K129" s="17" t="s">
        <v>25</v>
      </c>
      <c r="L129" s="17"/>
      <c r="M129" s="155" t="s">
        <v>155</v>
      </c>
      <c r="N129" s="45">
        <f>Assumptions!$D$52</f>
        <v>0.2</v>
      </c>
      <c r="O129" s="32" t="s">
        <v>26</v>
      </c>
      <c r="P129" s="155" t="s">
        <v>156</v>
      </c>
      <c r="Q129" s="45">
        <f>Assumptions!$G$52</f>
        <v>0.06</v>
      </c>
      <c r="R129" s="32" t="s">
        <v>26</v>
      </c>
      <c r="S129" s="33">
        <f>SUM(S83:S87)*N129+SUM(S90:S102)*Q129</f>
        <v>16244908.8</v>
      </c>
      <c r="U129" s="17" t="s">
        <v>25</v>
      </c>
      <c r="V129" s="17"/>
      <c r="W129" s="155" t="s">
        <v>155</v>
      </c>
      <c r="X129" s="45">
        <f>Assumptions!$D$52</f>
        <v>0.2</v>
      </c>
      <c r="Y129" s="32" t="s">
        <v>26</v>
      </c>
      <c r="Z129" s="155" t="s">
        <v>156</v>
      </c>
      <c r="AA129" s="45">
        <f>Assumptions!$G$52</f>
        <v>0.06</v>
      </c>
      <c r="AB129" s="32" t="s">
        <v>26</v>
      </c>
      <c r="AC129" s="33">
        <f>SUM(AC83:AC87)*X129+SUM(AC90:AC102)*AA129</f>
        <v>14526009.6</v>
      </c>
      <c r="AE129" s="17" t="s">
        <v>25</v>
      </c>
      <c r="AF129" s="17"/>
      <c r="AG129" s="155" t="s">
        <v>155</v>
      </c>
      <c r="AH129" s="45">
        <f>Assumptions!$D$52</f>
        <v>0.2</v>
      </c>
      <c r="AI129" s="32" t="s">
        <v>26</v>
      </c>
      <c r="AJ129" s="155" t="s">
        <v>156</v>
      </c>
      <c r="AK129" s="45">
        <f>Assumptions!$G$52</f>
        <v>0.06</v>
      </c>
      <c r="AL129" s="32" t="s">
        <v>26</v>
      </c>
      <c r="AM129" s="33">
        <f>SUM(AM83:AM87)*AH129+SUM(AM90:AM102)*AK129</f>
        <v>13523278.8</v>
      </c>
    </row>
    <row r="130" spans="1:39" ht="11.1" customHeight="1">
      <c r="A130" s="26"/>
      <c r="B130" s="26"/>
      <c r="C130" s="26"/>
      <c r="D130" s="26"/>
      <c r="E130" s="26"/>
      <c r="F130" s="26"/>
      <c r="G130" s="26"/>
      <c r="H130" s="26"/>
      <c r="I130" s="40"/>
      <c r="K130" s="26"/>
      <c r="L130" s="26"/>
      <c r="M130" s="26"/>
      <c r="N130" s="26"/>
      <c r="O130" s="26"/>
      <c r="P130" s="26"/>
      <c r="Q130" s="26"/>
      <c r="R130" s="26"/>
      <c r="S130" s="40"/>
      <c r="U130" s="26"/>
      <c r="V130" s="26"/>
      <c r="W130" s="26"/>
      <c r="X130" s="26"/>
      <c r="Y130" s="26"/>
      <c r="Z130" s="26"/>
      <c r="AA130" s="26"/>
      <c r="AB130" s="26"/>
      <c r="AC130" s="40"/>
      <c r="AE130" s="26"/>
      <c r="AF130" s="26"/>
      <c r="AG130" s="26"/>
      <c r="AH130" s="26"/>
      <c r="AI130" s="26"/>
      <c r="AJ130" s="26"/>
      <c r="AK130" s="26"/>
      <c r="AL130" s="26"/>
      <c r="AM130" s="40"/>
    </row>
    <row r="131" spans="1:39" ht="11.1" customHeight="1">
      <c r="A131" s="25" t="s">
        <v>27</v>
      </c>
      <c r="B131" s="26"/>
      <c r="C131" s="26"/>
      <c r="D131" s="26"/>
      <c r="E131" s="26"/>
      <c r="F131" s="26"/>
      <c r="G131" s="26"/>
      <c r="H131" s="26"/>
      <c r="I131" s="42">
        <f>SUM(I107:I130)</f>
        <v>87830053.615352333</v>
      </c>
      <c r="K131" s="25" t="s">
        <v>27</v>
      </c>
      <c r="L131" s="26"/>
      <c r="M131" s="26"/>
      <c r="N131" s="26"/>
      <c r="O131" s="26"/>
      <c r="P131" s="26"/>
      <c r="Q131" s="26"/>
      <c r="R131" s="26"/>
      <c r="S131" s="42">
        <f>SUM(S107:S130)</f>
        <v>83689109.367504</v>
      </c>
      <c r="U131" s="25" t="s">
        <v>27</v>
      </c>
      <c r="V131" s="26"/>
      <c r="W131" s="26"/>
      <c r="X131" s="26"/>
      <c r="Y131" s="26"/>
      <c r="Z131" s="26"/>
      <c r="AA131" s="26"/>
      <c r="AB131" s="26"/>
      <c r="AC131" s="42">
        <f>SUM(AC107:AC130)</f>
        <v>79574062.573653311</v>
      </c>
      <c r="AE131" s="25" t="s">
        <v>27</v>
      </c>
      <c r="AF131" s="26"/>
      <c r="AG131" s="26"/>
      <c r="AH131" s="26"/>
      <c r="AI131" s="26"/>
      <c r="AJ131" s="26"/>
      <c r="AK131" s="26"/>
      <c r="AL131" s="26"/>
      <c r="AM131" s="42">
        <f>SUM(AM107:AM130)</f>
        <v>77589845.3931209</v>
      </c>
    </row>
    <row r="132" spans="1:39" ht="11.1" customHeight="1">
      <c r="A132" s="28"/>
      <c r="B132" s="28"/>
      <c r="C132" s="28"/>
      <c r="D132" s="28"/>
      <c r="E132" s="28"/>
      <c r="F132" s="28"/>
      <c r="G132" s="28"/>
      <c r="H132" s="28"/>
      <c r="I132" s="51"/>
      <c r="K132" s="28"/>
      <c r="L132" s="28"/>
      <c r="M132" s="28"/>
      <c r="N132" s="28"/>
      <c r="O132" s="28"/>
      <c r="P132" s="28"/>
      <c r="Q132" s="28"/>
      <c r="R132" s="28"/>
      <c r="S132" s="51"/>
      <c r="U132" s="28"/>
      <c r="V132" s="28"/>
      <c r="W132" s="28"/>
      <c r="X132" s="28"/>
      <c r="Y132" s="28"/>
      <c r="Z132" s="28"/>
      <c r="AA132" s="28"/>
      <c r="AB132" s="28"/>
      <c r="AC132" s="51"/>
      <c r="AE132" s="28"/>
      <c r="AF132" s="28"/>
      <c r="AG132" s="28"/>
      <c r="AH132" s="28"/>
      <c r="AI132" s="28"/>
      <c r="AJ132" s="28"/>
      <c r="AK132" s="28"/>
      <c r="AL132" s="28"/>
      <c r="AM132" s="51"/>
    </row>
    <row r="133" spans="1:39" ht="11.1" customHeight="1">
      <c r="A133" s="52" t="s">
        <v>28</v>
      </c>
      <c r="B133" s="53"/>
      <c r="C133" s="53"/>
      <c r="D133" s="53"/>
      <c r="E133" s="53"/>
      <c r="F133" s="53"/>
      <c r="G133" s="53"/>
      <c r="H133" s="53"/>
      <c r="I133" s="54">
        <f>I104-I131</f>
        <v>4756981.3846476674</v>
      </c>
      <c r="K133" s="52" t="s">
        <v>28</v>
      </c>
      <c r="L133" s="53"/>
      <c r="M133" s="53"/>
      <c r="N133" s="53"/>
      <c r="O133" s="53"/>
      <c r="P133" s="53"/>
      <c r="Q133" s="53"/>
      <c r="R133" s="53"/>
      <c r="S133" s="54">
        <f>S104-S131</f>
        <v>2875370.6324959993</v>
      </c>
      <c r="U133" s="52" t="s">
        <v>28</v>
      </c>
      <c r="V133" s="53"/>
      <c r="W133" s="53"/>
      <c r="X133" s="53"/>
      <c r="Y133" s="53"/>
      <c r="Z133" s="53"/>
      <c r="AA133" s="53"/>
      <c r="AB133" s="53"/>
      <c r="AC133" s="54">
        <f>AC104-AC131</f>
        <v>1365097.4263466895</v>
      </c>
      <c r="AE133" s="52" t="s">
        <v>28</v>
      </c>
      <c r="AF133" s="53"/>
      <c r="AG133" s="53"/>
      <c r="AH133" s="53"/>
      <c r="AI133" s="53"/>
      <c r="AJ133" s="53"/>
      <c r="AK133" s="53"/>
      <c r="AL133" s="53"/>
      <c r="AM133" s="54">
        <f>AM104-AM131</f>
        <v>2576134.6068791</v>
      </c>
    </row>
    <row r="134" spans="1:39" ht="11.1" customHeight="1">
      <c r="A134" s="52" t="s">
        <v>107</v>
      </c>
      <c r="B134" s="53"/>
      <c r="C134" s="53"/>
      <c r="D134" s="53"/>
      <c r="E134" s="53"/>
      <c r="F134" s="53"/>
      <c r="G134" s="53"/>
      <c r="H134" s="53"/>
      <c r="I134" s="54">
        <f>I133/D80</f>
        <v>104.45721090574588</v>
      </c>
      <c r="K134" s="52" t="s">
        <v>107</v>
      </c>
      <c r="L134" s="53"/>
      <c r="M134" s="53"/>
      <c r="N134" s="53"/>
      <c r="O134" s="53"/>
      <c r="P134" s="53"/>
      <c r="Q134" s="53"/>
      <c r="R134" s="53"/>
      <c r="S134" s="54">
        <f>S133/N80</f>
        <v>71.031883213833979</v>
      </c>
      <c r="U134" s="52" t="s">
        <v>107</v>
      </c>
      <c r="V134" s="53"/>
      <c r="W134" s="53"/>
      <c r="X134" s="53"/>
      <c r="Y134" s="53"/>
      <c r="Z134" s="53"/>
      <c r="AA134" s="53"/>
      <c r="AB134" s="53"/>
      <c r="AC134" s="54">
        <f>AC133/X80</f>
        <v>38.540300009787956</v>
      </c>
      <c r="AE134" s="52" t="s">
        <v>107</v>
      </c>
      <c r="AF134" s="53"/>
      <c r="AG134" s="53"/>
      <c r="AH134" s="53"/>
      <c r="AI134" s="53"/>
      <c r="AJ134" s="53"/>
      <c r="AK134" s="53"/>
      <c r="AL134" s="53"/>
      <c r="AM134" s="54">
        <f>AM133/AH80</f>
        <v>84.852918540154818</v>
      </c>
    </row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  <row r="268" ht="11.1" customHeight="1"/>
    <row r="269" ht="11.1" customHeight="1"/>
    <row r="270" ht="11.1" customHeight="1"/>
    <row r="271" ht="11.1" customHeight="1"/>
    <row r="272" ht="11.1" customHeight="1"/>
    <row r="273" ht="11.1" customHeight="1"/>
    <row r="274" ht="11.1" customHeight="1"/>
    <row r="275" ht="11.1" customHeight="1"/>
    <row r="276" ht="11.1" customHeight="1"/>
    <row r="277" ht="11.1" customHeight="1"/>
    <row r="278" ht="11.1" customHeight="1"/>
    <row r="279" ht="11.1" customHeight="1"/>
    <row r="280" ht="11.1" customHeight="1"/>
    <row r="281" ht="11.1" customHeight="1"/>
    <row r="282" ht="11.1" customHeight="1"/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  <row r="292" ht="11.1" customHeight="1"/>
    <row r="293" ht="11.1" customHeight="1"/>
    <row r="294" ht="11.1" customHeight="1"/>
    <row r="295" ht="11.1" customHeight="1"/>
    <row r="296" ht="11.1" customHeight="1"/>
    <row r="297" ht="11.1" customHeight="1"/>
    <row r="298" ht="11.1" customHeight="1"/>
    <row r="299" ht="11.1" customHeight="1"/>
    <row r="300" ht="11.1" customHeight="1"/>
    <row r="301" ht="11.1" customHeight="1"/>
    <row r="302" ht="11.1" customHeight="1"/>
    <row r="303" ht="11.1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1.1" customHeight="1"/>
    <row r="361" ht="11.1" customHeight="1"/>
    <row r="362" ht="11.1" customHeight="1"/>
    <row r="363" ht="11.1" customHeight="1"/>
    <row r="364" ht="11.1" customHeight="1"/>
    <row r="365" ht="11.1" customHeight="1"/>
    <row r="366" ht="11.1" customHeight="1"/>
    <row r="367" ht="11.1" customHeight="1"/>
    <row r="368" ht="11.1" customHeight="1"/>
    <row r="369" ht="11.1" customHeight="1"/>
    <row r="370" ht="11.1" customHeight="1"/>
    <row r="371" ht="11.1" customHeight="1"/>
    <row r="372" ht="11.1" customHeight="1"/>
    <row r="373" ht="11.1" customHeight="1"/>
    <row r="374" ht="11.1" customHeight="1"/>
    <row r="375" ht="11.1" customHeight="1"/>
    <row r="376" ht="11.1" customHeight="1"/>
    <row r="377" ht="11.1" customHeight="1"/>
    <row r="378" ht="11.1" customHeight="1"/>
    <row r="379" ht="11.1" customHeight="1"/>
    <row r="380" ht="11.1" customHeight="1"/>
    <row r="381" ht="11.1" customHeight="1"/>
    <row r="382" ht="11.1" customHeight="1"/>
    <row r="383" ht="11.1" customHeight="1"/>
    <row r="384" ht="11.1" customHeight="1"/>
    <row r="385" ht="11.1" customHeight="1"/>
    <row r="386" ht="11.1" customHeight="1"/>
    <row r="387" ht="11.1" customHeight="1"/>
    <row r="388" ht="11.1" customHeight="1"/>
    <row r="389" ht="11.1" customHeight="1"/>
    <row r="390" ht="11.1" customHeight="1"/>
    <row r="391" ht="11.1" customHeight="1"/>
    <row r="392" ht="11.1" customHeight="1"/>
    <row r="393" ht="11.1" customHeight="1"/>
    <row r="394" ht="11.1" customHeight="1"/>
    <row r="395" ht="11.1" customHeight="1"/>
    <row r="396" ht="11.1" customHeight="1"/>
    <row r="397" ht="11.1" customHeight="1"/>
    <row r="398" ht="11.1" customHeight="1"/>
    <row r="399" ht="11.1" customHeight="1"/>
    <row r="400" ht="11.1" customHeight="1"/>
  </sheetData>
  <mergeCells count="8">
    <mergeCell ref="D2:I4"/>
    <mergeCell ref="N2:S4"/>
    <mergeCell ref="X2:AC4"/>
    <mergeCell ref="AH2:AM4"/>
    <mergeCell ref="D70:I72"/>
    <mergeCell ref="N70:S72"/>
    <mergeCell ref="X70:AC72"/>
    <mergeCell ref="AH70:AM72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8194" r:id="rId4">
          <objectPr defaultSize="0" r:id="rId5">
            <anchor moveWithCells="1" sizeWithCells="1">
              <from>
                <xdr:col>0</xdr:col>
                <xdr:colOff>47551</xdr:colOff>
                <xdr:row>0</xdr:row>
                <xdr:rowOff>123825</xdr:rowOff>
              </from>
              <to>
                <xdr:col>2</xdr:col>
                <xdr:colOff>162074</xdr:colOff>
                <xdr:row>4</xdr:row>
                <xdr:rowOff>104775</xdr:rowOff>
              </to>
            </anchor>
          </objectPr>
        </oleObject>
      </mc:Choice>
      <mc:Fallback>
        <oleObject progId="WordPad.Document.1" shapeId="8194" r:id="rId4"/>
      </mc:Fallback>
    </mc:AlternateContent>
    <mc:AlternateContent xmlns:mc="http://schemas.openxmlformats.org/markup-compatibility/2006">
      <mc:Choice Requires="x14">
        <oleObject progId="WordPad.Document.1" shapeId="8195" r:id="rId6">
          <objectPr defaultSize="0" r:id="rId5">
            <anchor moveWithCells="1" sizeWithCells="1">
              <from>
                <xdr:col>10</xdr:col>
                <xdr:colOff>38174</xdr:colOff>
                <xdr:row>0</xdr:row>
                <xdr:rowOff>123825</xdr:rowOff>
              </from>
              <to>
                <xdr:col>12</xdr:col>
                <xdr:colOff>152698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8195" r:id="rId6"/>
      </mc:Fallback>
    </mc:AlternateContent>
    <mc:AlternateContent xmlns:mc="http://schemas.openxmlformats.org/markup-compatibility/2006">
      <mc:Choice Requires="x14">
        <oleObject progId="WordPad.Document.1" shapeId="8196" r:id="rId7">
          <objectPr defaultSize="0" r:id="rId5">
            <anchor moveWithCells="1" sizeWithCells="1">
              <from>
                <xdr:col>20</xdr:col>
                <xdr:colOff>38174</xdr:colOff>
                <xdr:row>0</xdr:row>
                <xdr:rowOff>123825</xdr:rowOff>
              </from>
              <to>
                <xdr:col>22</xdr:col>
                <xdr:colOff>152698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8196" r:id="rId7"/>
      </mc:Fallback>
    </mc:AlternateContent>
    <mc:AlternateContent xmlns:mc="http://schemas.openxmlformats.org/markup-compatibility/2006">
      <mc:Choice Requires="x14">
        <oleObject progId="WordPad.Document.1" shapeId="8197" r:id="rId8">
          <objectPr defaultSize="0" r:id="rId5">
            <anchor moveWithCells="1" sizeWithCells="1">
              <from>
                <xdr:col>30</xdr:col>
                <xdr:colOff>38174</xdr:colOff>
                <xdr:row>0</xdr:row>
                <xdr:rowOff>123825</xdr:rowOff>
              </from>
              <to>
                <xdr:col>32</xdr:col>
                <xdr:colOff>152698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8197" r:id="rId8"/>
      </mc:Fallback>
    </mc:AlternateContent>
    <mc:AlternateContent xmlns:mc="http://schemas.openxmlformats.org/markup-compatibility/2006">
      <mc:Choice Requires="x14">
        <oleObject progId="WordPad.Document.1" shapeId="8199" r:id="rId9">
          <objectPr defaultSize="0" r:id="rId5">
            <anchor moveWithCells="1" sizeWithCells="1">
              <from>
                <xdr:col>0</xdr:col>
                <xdr:colOff>47551</xdr:colOff>
                <xdr:row>68</xdr:row>
                <xdr:rowOff>123825</xdr:rowOff>
              </from>
              <to>
                <xdr:col>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8199" r:id="rId9"/>
      </mc:Fallback>
    </mc:AlternateContent>
    <mc:AlternateContent xmlns:mc="http://schemas.openxmlformats.org/markup-compatibility/2006">
      <mc:Choice Requires="x14">
        <oleObject progId="WordPad.Document.1" shapeId="8200" r:id="rId10">
          <objectPr defaultSize="0" r:id="rId5">
            <anchor moveWithCells="1" sizeWithCells="1">
              <from>
                <xdr:col>10</xdr:col>
                <xdr:colOff>47551</xdr:colOff>
                <xdr:row>68</xdr:row>
                <xdr:rowOff>123825</xdr:rowOff>
              </from>
              <to>
                <xdr:col>12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8200" r:id="rId10"/>
      </mc:Fallback>
    </mc:AlternateContent>
    <mc:AlternateContent xmlns:mc="http://schemas.openxmlformats.org/markup-compatibility/2006">
      <mc:Choice Requires="x14">
        <oleObject progId="WordPad.Document.1" shapeId="8201" r:id="rId11">
          <objectPr defaultSize="0" r:id="rId5">
            <anchor moveWithCells="1" sizeWithCells="1">
              <from>
                <xdr:col>20</xdr:col>
                <xdr:colOff>47551</xdr:colOff>
                <xdr:row>68</xdr:row>
                <xdr:rowOff>123825</xdr:rowOff>
              </from>
              <to>
                <xdr:col>22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8201" r:id="rId11"/>
      </mc:Fallback>
    </mc:AlternateContent>
    <mc:AlternateContent xmlns:mc="http://schemas.openxmlformats.org/markup-compatibility/2006">
      <mc:Choice Requires="x14">
        <oleObject progId="WordPad.Document.1" shapeId="8202" r:id="rId12">
          <objectPr defaultSize="0" r:id="rId5">
            <anchor moveWithCells="1" sizeWithCells="1">
              <from>
                <xdr:col>30</xdr:col>
                <xdr:colOff>47551</xdr:colOff>
                <xdr:row>68</xdr:row>
                <xdr:rowOff>123825</xdr:rowOff>
              </from>
              <to>
                <xdr:col>32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8202" r:id="rId12"/>
      </mc:Fallback>
    </mc:AlternateContent>
  </oleObjects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M582"/>
  <sheetViews>
    <sheetView topLeftCell="A117" zoomScale="40" view="normal" tabSelected="1" workbookViewId="0">
      <selection pane="topLeft" activeCell="W179" sqref="W179"/>
    </sheetView>
  </sheetViews>
  <sheetFormatPr defaultRowHeight="15"/>
  <cols>
    <col min="7" max="7" width="6.75390625" customWidth="1"/>
    <col min="9" max="9" width="12.75390625" customWidth="1"/>
    <col min="10" max="10" width="1.75390625" customWidth="1"/>
    <col min="17" max="17" width="6.75390625" customWidth="1"/>
    <col min="19" max="19" width="12.75390625" customWidth="1"/>
    <col min="20" max="20" width="1.75390625" customWidth="1"/>
    <col min="27" max="27" width="6.75390625" customWidth="1"/>
    <col min="29" max="29" width="12.75390625" customWidth="1"/>
    <col min="30" max="30" width="1.75390625" customWidth="1"/>
    <col min="37" max="37" width="6.75390625" customWidth="1"/>
    <col min="39" max="39" width="12.75390625" customWidth="1"/>
    <col min="40" max="40" width="1.75390625" customWidth="1"/>
    <col min="47" max="47" width="6.75390625" customWidth="1"/>
    <col min="49" max="49" width="12.75390625" customWidth="1"/>
  </cols>
  <sheetData>
    <row r="1" spans="1:39" ht="11.1" customHeight="1">
      <c r="A1" s="5"/>
      <c r="B1" s="14"/>
      <c r="C1" s="14"/>
      <c r="D1" s="15"/>
      <c r="E1" s="14"/>
      <c r="F1" s="14"/>
      <c r="G1" s="14"/>
      <c r="H1" s="14"/>
      <c r="I1" s="14"/>
      <c r="K1" s="5"/>
      <c r="L1" s="14"/>
      <c r="M1" s="14"/>
      <c r="N1" s="15"/>
      <c r="O1" s="14"/>
      <c r="P1" s="14"/>
      <c r="Q1" s="14"/>
      <c r="R1" s="14"/>
      <c r="S1" s="14"/>
      <c r="U1" s="5"/>
      <c r="V1" s="14"/>
      <c r="W1" s="14"/>
      <c r="X1" s="15"/>
      <c r="Y1" s="14"/>
      <c r="Z1" s="14"/>
      <c r="AA1" s="14"/>
      <c r="AB1" s="14"/>
      <c r="AC1" s="14"/>
      <c r="AE1" s="5"/>
      <c r="AF1" s="14"/>
      <c r="AG1" s="14"/>
      <c r="AH1" s="15"/>
      <c r="AI1" s="14"/>
      <c r="AJ1" s="14"/>
      <c r="AK1" s="14"/>
      <c r="AL1" s="14"/>
      <c r="AM1" s="14"/>
    </row>
    <row r="2" spans="1:39" ht="11.1" customHeight="1">
      <c r="A2" s="5"/>
      <c r="B2" s="5"/>
      <c r="C2" s="5"/>
      <c r="D2" s="310" t="s">
        <v>79</v>
      </c>
      <c r="E2" s="310"/>
      <c r="F2" s="310"/>
      <c r="G2" s="310"/>
      <c r="H2" s="310"/>
      <c r="I2" s="310"/>
      <c r="K2" s="5"/>
      <c r="L2" s="5"/>
      <c r="M2" s="5"/>
      <c r="N2" s="310" t="s">
        <v>79</v>
      </c>
      <c r="O2" s="310"/>
      <c r="P2" s="310"/>
      <c r="Q2" s="310"/>
      <c r="R2" s="310"/>
      <c r="S2" s="310"/>
      <c r="U2" s="5"/>
      <c r="V2" s="5"/>
      <c r="W2" s="5"/>
      <c r="X2" s="310" t="s">
        <v>79</v>
      </c>
      <c r="Y2" s="310"/>
      <c r="Z2" s="310"/>
      <c r="AA2" s="310"/>
      <c r="AB2" s="310"/>
      <c r="AC2" s="310"/>
      <c r="AE2" s="5"/>
      <c r="AF2" s="5"/>
      <c r="AG2" s="5"/>
      <c r="AH2" s="310" t="s">
        <v>79</v>
      </c>
      <c r="AI2" s="310"/>
      <c r="AJ2" s="310"/>
      <c r="AK2" s="310"/>
      <c r="AL2" s="310"/>
      <c r="AM2" s="310"/>
    </row>
    <row r="3" spans="1:39" ht="11.1" customHeight="1">
      <c r="A3" s="5"/>
      <c r="B3" s="5"/>
      <c r="C3" s="5"/>
      <c r="D3" s="310"/>
      <c r="E3" s="310"/>
      <c r="F3" s="310"/>
      <c r="G3" s="310"/>
      <c r="H3" s="310"/>
      <c r="I3" s="310"/>
      <c r="K3" s="5"/>
      <c r="L3" s="5"/>
      <c r="M3" s="5"/>
      <c r="N3" s="310"/>
      <c r="O3" s="310"/>
      <c r="P3" s="310"/>
      <c r="Q3" s="310"/>
      <c r="R3" s="310"/>
      <c r="S3" s="310"/>
      <c r="U3" s="5"/>
      <c r="V3" s="5"/>
      <c r="W3" s="5"/>
      <c r="X3" s="310"/>
      <c r="Y3" s="310"/>
      <c r="Z3" s="310"/>
      <c r="AA3" s="310"/>
      <c r="AB3" s="310"/>
      <c r="AC3" s="310"/>
      <c r="AE3" s="5"/>
      <c r="AF3" s="5"/>
      <c r="AG3" s="5"/>
      <c r="AH3" s="310"/>
      <c r="AI3" s="310"/>
      <c r="AJ3" s="310"/>
      <c r="AK3" s="310"/>
      <c r="AL3" s="310"/>
      <c r="AM3" s="310"/>
    </row>
    <row r="4" spans="1:39" ht="11.1" customHeight="1">
      <c r="A4" s="5"/>
      <c r="B4" s="5"/>
      <c r="C4" s="5"/>
      <c r="D4" s="310"/>
      <c r="E4" s="310"/>
      <c r="F4" s="310"/>
      <c r="G4" s="310"/>
      <c r="H4" s="310"/>
      <c r="I4" s="310"/>
      <c r="K4" s="5"/>
      <c r="L4" s="5"/>
      <c r="M4" s="5"/>
      <c r="N4" s="310"/>
      <c r="O4" s="310"/>
      <c r="P4" s="310"/>
      <c r="Q4" s="310"/>
      <c r="R4" s="310"/>
      <c r="S4" s="310"/>
      <c r="U4" s="5"/>
      <c r="V4" s="5"/>
      <c r="W4" s="5"/>
      <c r="X4" s="310"/>
      <c r="Y4" s="310"/>
      <c r="Z4" s="310"/>
      <c r="AA4" s="310"/>
      <c r="AB4" s="310"/>
      <c r="AC4" s="310"/>
      <c r="AE4" s="5"/>
      <c r="AF4" s="5"/>
      <c r="AG4" s="5"/>
      <c r="AH4" s="310"/>
      <c r="AI4" s="310"/>
      <c r="AJ4" s="310"/>
      <c r="AK4" s="310"/>
      <c r="AL4" s="310"/>
      <c r="AM4" s="310"/>
    </row>
    <row r="5" spans="1:39" ht="11.1" customHeight="1">
      <c r="A5" s="5"/>
      <c r="B5" s="5"/>
      <c r="C5" s="5"/>
      <c r="D5" s="5"/>
      <c r="E5" s="5"/>
      <c r="F5" s="5"/>
      <c r="G5" s="5"/>
      <c r="H5" s="5"/>
      <c r="I5" s="5"/>
      <c r="K5" s="5"/>
      <c r="L5" s="5"/>
      <c r="M5" s="5"/>
      <c r="N5" s="5"/>
      <c r="O5" s="5"/>
      <c r="P5" s="5"/>
      <c r="Q5" s="5"/>
      <c r="R5" s="5"/>
      <c r="S5" s="5"/>
      <c r="U5" s="5"/>
      <c r="V5" s="5"/>
      <c r="W5" s="5"/>
      <c r="X5" s="5"/>
      <c r="Y5" s="5"/>
      <c r="Z5" s="5"/>
      <c r="AA5" s="5"/>
      <c r="AB5" s="5"/>
      <c r="AC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1.1" customHeight="1">
      <c r="A6" s="16" t="s">
        <v>0</v>
      </c>
      <c r="B6" s="16"/>
      <c r="C6" s="17"/>
      <c r="D6" s="80" t="str">
        <f>Assumptions!$B$87</f>
        <v>Small Scale Strategic Site</v>
      </c>
      <c r="E6" s="75"/>
      <c r="F6" s="75"/>
      <c r="G6" s="76"/>
      <c r="H6" s="30" t="s">
        <v>36</v>
      </c>
      <c r="I6" s="62">
        <f>Assumptions!$C$88</f>
        <v>0</v>
      </c>
      <c r="K6" s="16" t="s">
        <v>0</v>
      </c>
      <c r="L6" s="16"/>
      <c r="M6" s="17"/>
      <c r="N6" s="80" t="str">
        <f>Assumptions!$B$87</f>
        <v>Small Scale Strategic Site</v>
      </c>
      <c r="O6" s="75"/>
      <c r="P6" s="75"/>
      <c r="Q6" s="76"/>
      <c r="R6" s="30" t="s">
        <v>36</v>
      </c>
      <c r="S6" s="62">
        <f>Assumptions!$C$88</f>
        <v>0</v>
      </c>
      <c r="U6" s="16" t="s">
        <v>0</v>
      </c>
      <c r="V6" s="16"/>
      <c r="W6" s="17"/>
      <c r="X6" s="80" t="str">
        <f>Assumptions!$B$87</f>
        <v>Small Scale Strategic Site</v>
      </c>
      <c r="Y6" s="75"/>
      <c r="Z6" s="75"/>
      <c r="AA6" s="76"/>
      <c r="AB6" s="30" t="s">
        <v>36</v>
      </c>
      <c r="AC6" s="62">
        <f>Assumptions!$C$88</f>
        <v>0</v>
      </c>
      <c r="AE6" s="16" t="s">
        <v>0</v>
      </c>
      <c r="AF6" s="16"/>
      <c r="AG6" s="17"/>
      <c r="AH6" s="80" t="str">
        <f>Assumptions!$B$87</f>
        <v>Small Scale Strategic Site</v>
      </c>
      <c r="AI6" s="75"/>
      <c r="AJ6" s="75"/>
      <c r="AK6" s="76"/>
      <c r="AL6" s="30" t="s">
        <v>36</v>
      </c>
      <c r="AM6" s="62">
        <f>Assumptions!$C$88</f>
        <v>0</v>
      </c>
    </row>
    <row r="7" spans="1:39" ht="11.1" customHeight="1">
      <c r="A7" s="16" t="s">
        <v>1</v>
      </c>
      <c r="B7" s="17"/>
      <c r="C7" s="17"/>
      <c r="D7" s="80" t="str">
        <f>'Land Values'!A10</f>
        <v>Greenfield </v>
      </c>
      <c r="E7" s="75"/>
      <c r="F7" s="75"/>
      <c r="G7" s="77"/>
      <c r="H7" s="30" t="s">
        <v>37</v>
      </c>
      <c r="I7" s="62">
        <f>Assumptions!$C$89</f>
        <v>250</v>
      </c>
      <c r="K7" s="16" t="s">
        <v>1</v>
      </c>
      <c r="L7" s="17"/>
      <c r="M7" s="17"/>
      <c r="N7" s="80" t="str">
        <f>'Land Values'!$A$10</f>
        <v>Greenfield </v>
      </c>
      <c r="O7" s="75"/>
      <c r="P7" s="75"/>
      <c r="Q7" s="77"/>
      <c r="R7" s="30" t="s">
        <v>37</v>
      </c>
      <c r="S7" s="62">
        <f>Assumptions!$C$89</f>
        <v>250</v>
      </c>
      <c r="U7" s="16" t="s">
        <v>1</v>
      </c>
      <c r="V7" s="17"/>
      <c r="W7" s="17"/>
      <c r="X7" s="80" t="str">
        <f>'Land Values'!$A$10</f>
        <v>Greenfield </v>
      </c>
      <c r="Y7" s="75"/>
      <c r="Z7" s="75"/>
      <c r="AA7" s="77"/>
      <c r="AB7" s="30" t="s">
        <v>37</v>
      </c>
      <c r="AC7" s="62">
        <f>Assumptions!$C$89</f>
        <v>250</v>
      </c>
      <c r="AE7" s="16" t="s">
        <v>1</v>
      </c>
      <c r="AF7" s="17"/>
      <c r="AG7" s="17"/>
      <c r="AH7" s="80" t="str">
        <f>'Land Values'!$A$10</f>
        <v>Greenfield </v>
      </c>
      <c r="AI7" s="75"/>
      <c r="AJ7" s="75"/>
      <c r="AK7" s="77"/>
      <c r="AL7" s="30" t="s">
        <v>37</v>
      </c>
      <c r="AM7" s="62">
        <f>Assumptions!$C$89</f>
        <v>250</v>
      </c>
    </row>
    <row r="8" spans="1:39" ht="11.1" customHeight="1">
      <c r="A8" s="16" t="s">
        <v>2</v>
      </c>
      <c r="B8" s="16"/>
      <c r="C8" s="17"/>
      <c r="D8" s="81" t="str">
        <f>Assumptions!A13</f>
        <v>Malpas &amp; Bettws</v>
      </c>
      <c r="E8" s="78"/>
      <c r="F8" s="78"/>
      <c r="G8" s="79"/>
      <c r="H8" s="30" t="s">
        <v>38</v>
      </c>
      <c r="I8" s="62">
        <f>Assumptions!$C$90</f>
        <v>400</v>
      </c>
      <c r="K8" s="16" t="s">
        <v>2</v>
      </c>
      <c r="L8" s="16"/>
      <c r="M8" s="17"/>
      <c r="N8" s="275" t="str">
        <f>Assumptions!A14</f>
        <v>Newport East </v>
      </c>
      <c r="O8" s="276"/>
      <c r="P8" s="276"/>
      <c r="Q8" s="277"/>
      <c r="R8" s="30" t="s">
        <v>38</v>
      </c>
      <c r="S8" s="62">
        <f>Assumptions!$C$90</f>
        <v>400</v>
      </c>
      <c r="U8" s="16" t="s">
        <v>2</v>
      </c>
      <c r="V8" s="16"/>
      <c r="W8" s="17"/>
      <c r="X8" s="272" t="str">
        <f>Assumptions!A15</f>
        <v>Rog/Newport West </v>
      </c>
      <c r="Y8" s="273"/>
      <c r="Z8" s="273"/>
      <c r="AA8" s="274"/>
      <c r="AB8" s="30" t="s">
        <v>38</v>
      </c>
      <c r="AC8" s="62">
        <f>Assumptions!$C$90</f>
        <v>400</v>
      </c>
      <c r="AE8" s="16" t="s">
        <v>2</v>
      </c>
      <c r="AF8" s="16"/>
      <c r="AG8" s="17"/>
      <c r="AH8" s="269" t="str">
        <f>Assumptions!A16</f>
        <v>Caerleon/Rural</v>
      </c>
      <c r="AI8" s="270"/>
      <c r="AJ8" s="270"/>
      <c r="AK8" s="271"/>
      <c r="AL8" s="30" t="s">
        <v>38</v>
      </c>
      <c r="AM8" s="62">
        <f>Assumptions!$C$90</f>
        <v>400</v>
      </c>
    </row>
    <row r="9" spans="1:39" ht="11.1" customHeight="1">
      <c r="A9" s="16" t="s">
        <v>3</v>
      </c>
      <c r="B9" s="16"/>
      <c r="C9" s="17"/>
      <c r="D9" s="63">
        <f>SUM(I6:I10)</f>
        <v>1000</v>
      </c>
      <c r="E9" s="55" t="s">
        <v>95</v>
      </c>
      <c r="F9" s="17"/>
      <c r="G9" s="19"/>
      <c r="H9" s="30" t="s">
        <v>39</v>
      </c>
      <c r="I9" s="62">
        <f>Assumptions!$C$91</f>
        <v>250</v>
      </c>
      <c r="K9" s="16" t="s">
        <v>3</v>
      </c>
      <c r="L9" s="16"/>
      <c r="M9" s="17"/>
      <c r="N9" s="63">
        <f>SUM(S6:S10)</f>
        <v>1000</v>
      </c>
      <c r="O9" s="55" t="s">
        <v>95</v>
      </c>
      <c r="P9" s="17"/>
      <c r="Q9" s="19"/>
      <c r="R9" s="30" t="s">
        <v>39</v>
      </c>
      <c r="S9" s="62">
        <f>Assumptions!$C$91</f>
        <v>250</v>
      </c>
      <c r="U9" s="16" t="s">
        <v>3</v>
      </c>
      <c r="V9" s="16"/>
      <c r="W9" s="17"/>
      <c r="X9" s="63">
        <f>SUM(AC6:AC10)</f>
        <v>1000</v>
      </c>
      <c r="Y9" s="55" t="s">
        <v>95</v>
      </c>
      <c r="Z9" s="17"/>
      <c r="AA9" s="19"/>
      <c r="AB9" s="30" t="s">
        <v>39</v>
      </c>
      <c r="AC9" s="62">
        <f>Assumptions!$C$91</f>
        <v>250</v>
      </c>
      <c r="AE9" s="16" t="s">
        <v>3</v>
      </c>
      <c r="AF9" s="16"/>
      <c r="AG9" s="17"/>
      <c r="AH9" s="63">
        <f>SUM(AM6:AM10)</f>
        <v>1000</v>
      </c>
      <c r="AI9" s="55" t="s">
        <v>95</v>
      </c>
      <c r="AJ9" s="17"/>
      <c r="AK9" s="19"/>
      <c r="AL9" s="30" t="s">
        <v>39</v>
      </c>
      <c r="AM9" s="62">
        <f>Assumptions!$C$91</f>
        <v>250</v>
      </c>
    </row>
    <row r="10" spans="1:39" ht="11.1" customHeight="1">
      <c r="A10" s="16" t="s">
        <v>81</v>
      </c>
      <c r="B10" s="17"/>
      <c r="C10" s="22">
        <f>Assumptions!$C$13</f>
        <v>0.1</v>
      </c>
      <c r="D10" s="63">
        <f>D9*C10</f>
        <v>100</v>
      </c>
      <c r="E10" s="55" t="s">
        <v>83</v>
      </c>
      <c r="F10" s="19"/>
      <c r="G10" s="21"/>
      <c r="H10" s="30" t="s">
        <v>40</v>
      </c>
      <c r="I10" s="62">
        <f>Assumptions!$C$92</f>
        <v>100</v>
      </c>
      <c r="K10" s="16" t="s">
        <v>81</v>
      </c>
      <c r="L10" s="17"/>
      <c r="M10" s="22">
        <f>Assumptions!$C$14</f>
        <v>0.2</v>
      </c>
      <c r="N10" s="63">
        <f>N9*M10</f>
        <v>200</v>
      </c>
      <c r="O10" s="55" t="s">
        <v>83</v>
      </c>
      <c r="P10" s="19"/>
      <c r="Q10" s="21"/>
      <c r="R10" s="30" t="s">
        <v>40</v>
      </c>
      <c r="S10" s="62">
        <f>Assumptions!$C$92</f>
        <v>100</v>
      </c>
      <c r="U10" s="16" t="s">
        <v>81</v>
      </c>
      <c r="V10" s="17"/>
      <c r="W10" s="22">
        <f>Assumptions!$C$15</f>
        <v>0.3</v>
      </c>
      <c r="X10" s="63">
        <f>X9*W10</f>
        <v>300</v>
      </c>
      <c r="Y10" s="55" t="s">
        <v>83</v>
      </c>
      <c r="Z10" s="19"/>
      <c r="AA10" s="21"/>
      <c r="AB10" s="30" t="s">
        <v>40</v>
      </c>
      <c r="AC10" s="62">
        <f>Assumptions!$C$92</f>
        <v>100</v>
      </c>
      <c r="AE10" s="16" t="s">
        <v>81</v>
      </c>
      <c r="AF10" s="17"/>
      <c r="AG10" s="22">
        <f>Assumptions!$C$16</f>
        <v>0.4</v>
      </c>
      <c r="AH10" s="63">
        <f>AH9*AG10</f>
        <v>400</v>
      </c>
      <c r="AI10" s="55" t="s">
        <v>83</v>
      </c>
      <c r="AJ10" s="19"/>
      <c r="AK10" s="21"/>
      <c r="AL10" s="30" t="s">
        <v>40</v>
      </c>
      <c r="AM10" s="62">
        <f>Assumptions!$C$92</f>
        <v>100</v>
      </c>
    </row>
    <row r="11" spans="1:39" ht="11.1" customHeight="1">
      <c r="A11" s="16" t="s">
        <v>84</v>
      </c>
      <c r="B11" s="17"/>
      <c r="C11" s="64">
        <f>Assumptions!$D$13</f>
        <v>1</v>
      </c>
      <c r="D11" s="30" t="s">
        <v>33</v>
      </c>
      <c r="E11" s="22">
        <f>Assumptions!$E$13</f>
        <v>0</v>
      </c>
      <c r="F11" s="30" t="s">
        <v>34</v>
      </c>
      <c r="G11" s="65">
        <f>Assumptions!$F$13</f>
        <v>0</v>
      </c>
      <c r="H11" s="55" t="s">
        <v>35</v>
      </c>
      <c r="I11" s="11"/>
      <c r="K11" s="16" t="s">
        <v>84</v>
      </c>
      <c r="L11" s="17"/>
      <c r="M11" s="64">
        <f>Assumptions!$D$14</f>
        <v>1</v>
      </c>
      <c r="N11" s="30" t="s">
        <v>33</v>
      </c>
      <c r="O11" s="22">
        <f>Assumptions!$E$14</f>
        <v>0</v>
      </c>
      <c r="P11" s="30" t="s">
        <v>34</v>
      </c>
      <c r="Q11" s="65">
        <f>Assumptions!$F$14</f>
        <v>0</v>
      </c>
      <c r="R11" s="55" t="s">
        <v>35</v>
      </c>
      <c r="S11" s="11"/>
      <c r="U11" s="16" t="s">
        <v>84</v>
      </c>
      <c r="V11" s="17"/>
      <c r="W11" s="64">
        <f>Assumptions!$D$15</f>
        <v>1</v>
      </c>
      <c r="X11" s="30" t="s">
        <v>33</v>
      </c>
      <c r="Y11" s="22">
        <f>Assumptions!$E$15</f>
        <v>0</v>
      </c>
      <c r="Z11" s="30" t="s">
        <v>34</v>
      </c>
      <c r="AA11" s="65">
        <f>Assumptions!$F$15</f>
        <v>0</v>
      </c>
      <c r="AB11" s="55" t="s">
        <v>35</v>
      </c>
      <c r="AC11" s="11"/>
      <c r="AE11" s="16" t="s">
        <v>84</v>
      </c>
      <c r="AF11" s="17"/>
      <c r="AG11" s="64">
        <f>Assumptions!$D$16</f>
        <v>1</v>
      </c>
      <c r="AH11" s="30" t="s">
        <v>33</v>
      </c>
      <c r="AI11" s="22">
        <f>Assumptions!$E$16</f>
        <v>0</v>
      </c>
      <c r="AJ11" s="30" t="s">
        <v>34</v>
      </c>
      <c r="AK11" s="65">
        <f>Assumptions!$F$16</f>
        <v>0</v>
      </c>
      <c r="AL11" s="55" t="s">
        <v>35</v>
      </c>
      <c r="AM11" s="11"/>
    </row>
    <row r="12" spans="1:39" ht="11.1" customHeight="1">
      <c r="A12" s="16" t="s">
        <v>85</v>
      </c>
      <c r="B12" s="17"/>
      <c r="C12" s="17"/>
      <c r="D12" s="23">
        <f>(A15*C15)+(A16*C16)+(A17*C17)+(A18*C18)+(A19*C19)</f>
        <v>89055</v>
      </c>
      <c r="E12" s="55" t="s">
        <v>86</v>
      </c>
      <c r="F12" s="19"/>
      <c r="G12" s="24">
        <f>SUM(A22*C22)+(A23*C23)+(A24*C24)+(A27*C27)+(A28*C28)+(A29*C29)+(A32*C32)+(A33*C33)+(A34*C34)</f>
        <v>8630</v>
      </c>
      <c r="H12" s="30" t="s">
        <v>87</v>
      </c>
      <c r="I12" s="19"/>
      <c r="K12" s="16" t="s">
        <v>85</v>
      </c>
      <c r="L12" s="17"/>
      <c r="M12" s="17"/>
      <c r="N12" s="23">
        <f>(K15*M15)+(K16*M16)+(K17*M17)+(K18*M18)+(K19*M19)</f>
        <v>79160</v>
      </c>
      <c r="O12" s="55" t="s">
        <v>86</v>
      </c>
      <c r="P12" s="19"/>
      <c r="Q12" s="24">
        <f>SUM(K22*M22)+(K23*M23)+(K24*M24)+(K27*M27)+(K28*M28)+(K29*M29)+(K32*M32)+(K33*M33)+(K34*M34)</f>
        <v>17260</v>
      </c>
      <c r="R12" s="30" t="s">
        <v>87</v>
      </c>
      <c r="S12" s="19"/>
      <c r="U12" s="16" t="s">
        <v>85</v>
      </c>
      <c r="V12" s="17"/>
      <c r="W12" s="17"/>
      <c r="X12" s="23">
        <f>(U15*W15)+(U16*W16)+(U17*W17)+(U18*W18)+(U19*W19)</f>
        <v>69265</v>
      </c>
      <c r="Y12" s="55" t="s">
        <v>86</v>
      </c>
      <c r="Z12" s="19"/>
      <c r="AA12" s="24">
        <f>SUM(U22*W22)+(U23*W23)+(U24*W24)+(U27*W27)+(U28*W28)+(U29*W29)+(U32*W32)+(U33*W33)+(U34*W34)</f>
        <v>25890</v>
      </c>
      <c r="AB12" s="30" t="s">
        <v>87</v>
      </c>
      <c r="AC12" s="19"/>
      <c r="AE12" s="16" t="s">
        <v>85</v>
      </c>
      <c r="AF12" s="17"/>
      <c r="AG12" s="17"/>
      <c r="AH12" s="23">
        <f>(AE15*AG15)+(AE16*AG16)+(AE17*AG17)+(AE18*AG18)+(AE19*AG19)</f>
        <v>59370</v>
      </c>
      <c r="AI12" s="55" t="s">
        <v>86</v>
      </c>
      <c r="AJ12" s="19"/>
      <c r="AK12" s="24">
        <f>SUM(AE22*AG22)+(AE23*AG23)+(AE24*AG24)+(AE27*AG27)+(AE28*AG28)+(AE29*AG29)+(AE32*AG32)+(AE33*AG33)+(AE34*AG34)</f>
        <v>34520</v>
      </c>
      <c r="AL12" s="30" t="s">
        <v>87</v>
      </c>
      <c r="AM12" s="19"/>
    </row>
    <row r="13" spans="1:39" ht="11.1" customHeight="1">
      <c r="A13" s="25" t="s">
        <v>4</v>
      </c>
      <c r="B13" s="26"/>
      <c r="C13" s="26"/>
      <c r="D13" s="26"/>
      <c r="E13" s="26"/>
      <c r="F13" s="26"/>
      <c r="G13" s="26"/>
      <c r="H13" s="26"/>
      <c r="I13" s="27"/>
      <c r="K13" s="25" t="s">
        <v>4</v>
      </c>
      <c r="L13" s="26"/>
      <c r="M13" s="26"/>
      <c r="N13" s="26"/>
      <c r="O13" s="26"/>
      <c r="P13" s="26"/>
      <c r="Q13" s="26"/>
      <c r="R13" s="26"/>
      <c r="S13" s="27"/>
      <c r="U13" s="25" t="s">
        <v>4</v>
      </c>
      <c r="V13" s="26"/>
      <c r="W13" s="26"/>
      <c r="X13" s="26"/>
      <c r="Y13" s="26"/>
      <c r="Z13" s="26"/>
      <c r="AA13" s="26"/>
      <c r="AB13" s="26"/>
      <c r="AC13" s="27"/>
      <c r="AE13" s="25" t="s">
        <v>4</v>
      </c>
      <c r="AF13" s="26"/>
      <c r="AG13" s="26"/>
      <c r="AH13" s="26"/>
      <c r="AI13" s="26"/>
      <c r="AJ13" s="26"/>
      <c r="AK13" s="26"/>
      <c r="AL13" s="26"/>
      <c r="AM13" s="27"/>
    </row>
    <row r="14" spans="1:39" ht="11.1" customHeight="1">
      <c r="A14" s="17" t="s">
        <v>88</v>
      </c>
      <c r="B14" s="17"/>
      <c r="C14" s="28"/>
      <c r="D14" s="28"/>
      <c r="E14" s="28"/>
      <c r="F14" s="28"/>
      <c r="G14" s="28"/>
      <c r="H14" s="28"/>
      <c r="I14" s="19"/>
      <c r="K14" s="17" t="s">
        <v>88</v>
      </c>
      <c r="L14" s="17"/>
      <c r="M14" s="28"/>
      <c r="N14" s="28"/>
      <c r="O14" s="28"/>
      <c r="P14" s="28"/>
      <c r="Q14" s="28"/>
      <c r="R14" s="28"/>
      <c r="S14" s="19"/>
      <c r="U14" s="17" t="s">
        <v>88</v>
      </c>
      <c r="V14" s="17"/>
      <c r="W14" s="28"/>
      <c r="X14" s="28"/>
      <c r="Y14" s="28"/>
      <c r="Z14" s="28"/>
      <c r="AA14" s="28"/>
      <c r="AB14" s="28"/>
      <c r="AC14" s="19"/>
      <c r="AE14" s="17" t="s">
        <v>88</v>
      </c>
      <c r="AF14" s="17"/>
      <c r="AG14" s="28"/>
      <c r="AH14" s="28"/>
      <c r="AI14" s="28"/>
      <c r="AJ14" s="28"/>
      <c r="AK14" s="28"/>
      <c r="AL14" s="28"/>
      <c r="AM14" s="19"/>
    </row>
    <row r="15" spans="1:39" ht="11.1" customHeight="1">
      <c r="A15" s="29">
        <f>I6*(100%-C10)</f>
        <v>0</v>
      </c>
      <c r="B15" s="30" t="s">
        <v>36</v>
      </c>
      <c r="C15" s="31">
        <f>Assumptions!$B$22</f>
        <v>61</v>
      </c>
      <c r="D15" s="32" t="s">
        <v>5</v>
      </c>
      <c r="E15" s="18">
        <f>Assumptions!$C$32</f>
        <v>1950</v>
      </c>
      <c r="F15" s="32" t="s">
        <v>6</v>
      </c>
      <c r="G15" s="28"/>
      <c r="H15" s="28"/>
      <c r="I15" s="33">
        <f>A15*C15*E15</f>
        <v>0</v>
      </c>
      <c r="K15" s="29">
        <f>S6*(100%-M10)</f>
        <v>0</v>
      </c>
      <c r="L15" s="30" t="s">
        <v>36</v>
      </c>
      <c r="M15" s="31">
        <f>Assumptions!$B$22</f>
        <v>61</v>
      </c>
      <c r="N15" s="32" t="s">
        <v>5</v>
      </c>
      <c r="O15" s="18">
        <f>Assumptions!$C$33</f>
        <v>1950</v>
      </c>
      <c r="P15" s="32" t="s">
        <v>6</v>
      </c>
      <c r="Q15" s="28"/>
      <c r="R15" s="28"/>
      <c r="S15" s="33">
        <f>K15*M15*O15</f>
        <v>0</v>
      </c>
      <c r="U15" s="29">
        <f>AC6*(100%-W10)</f>
        <v>0</v>
      </c>
      <c r="V15" s="30" t="s">
        <v>36</v>
      </c>
      <c r="W15" s="31">
        <f>Assumptions!$B$22</f>
        <v>61</v>
      </c>
      <c r="X15" s="32" t="s">
        <v>5</v>
      </c>
      <c r="Y15" s="18">
        <f>Assumptions!$C$34</f>
        <v>1950</v>
      </c>
      <c r="Z15" s="32" t="s">
        <v>6</v>
      </c>
      <c r="AA15" s="28"/>
      <c r="AB15" s="28"/>
      <c r="AC15" s="33">
        <f>U15*W15*Y15</f>
        <v>0</v>
      </c>
      <c r="AE15" s="29">
        <f>AM6*(100%-AG10)</f>
        <v>0</v>
      </c>
      <c r="AF15" s="30" t="s">
        <v>36</v>
      </c>
      <c r="AG15" s="31">
        <f>Assumptions!$B$22</f>
        <v>61</v>
      </c>
      <c r="AH15" s="32" t="s">
        <v>5</v>
      </c>
      <c r="AI15" s="18">
        <f>Assumptions!$C$35</f>
        <v>2050</v>
      </c>
      <c r="AJ15" s="32" t="s">
        <v>6</v>
      </c>
      <c r="AK15" s="28"/>
      <c r="AL15" s="28"/>
      <c r="AM15" s="33">
        <f>AE15*AG15*AI15</f>
        <v>0</v>
      </c>
    </row>
    <row r="16" spans="1:39" ht="11.1" customHeight="1">
      <c r="A16" s="29">
        <f>I7*(100%-C10)</f>
        <v>225</v>
      </c>
      <c r="B16" s="30" t="s">
        <v>37</v>
      </c>
      <c r="C16" s="31">
        <f>Assumptions!$B$23</f>
        <v>75</v>
      </c>
      <c r="D16" s="32" t="s">
        <v>5</v>
      </c>
      <c r="E16" s="18">
        <f>Assumptions!$D$32</f>
        <v>1950</v>
      </c>
      <c r="F16" s="32" t="s">
        <v>6</v>
      </c>
      <c r="G16" s="28"/>
      <c r="H16" s="28"/>
      <c r="I16" s="33">
        <f>A16*C16*E16</f>
        <v>32906250</v>
      </c>
      <c r="K16" s="29">
        <f>S7*(100%-M10)</f>
        <v>200</v>
      </c>
      <c r="L16" s="30" t="s">
        <v>37</v>
      </c>
      <c r="M16" s="31">
        <f>Assumptions!$B$23</f>
        <v>75</v>
      </c>
      <c r="N16" s="32" t="s">
        <v>5</v>
      </c>
      <c r="O16" s="18">
        <f>Assumptions!$D$33</f>
        <v>1950</v>
      </c>
      <c r="P16" s="32" t="s">
        <v>6</v>
      </c>
      <c r="Q16" s="28"/>
      <c r="R16" s="28"/>
      <c r="S16" s="33">
        <f>K16*M16*O16</f>
        <v>29250000</v>
      </c>
      <c r="U16" s="29">
        <f>AC7*(100%-W10)</f>
        <v>175</v>
      </c>
      <c r="V16" s="30" t="s">
        <v>37</v>
      </c>
      <c r="W16" s="31">
        <f>Assumptions!$B$23</f>
        <v>75</v>
      </c>
      <c r="X16" s="32" t="s">
        <v>5</v>
      </c>
      <c r="Y16" s="18">
        <f>Assumptions!$D$34</f>
        <v>1950</v>
      </c>
      <c r="Z16" s="32" t="s">
        <v>6</v>
      </c>
      <c r="AA16" s="28"/>
      <c r="AB16" s="28"/>
      <c r="AC16" s="33">
        <f>U16*W16*Y16</f>
        <v>25593750</v>
      </c>
      <c r="AE16" s="29">
        <f>AM7*(100%-AG10)</f>
        <v>150</v>
      </c>
      <c r="AF16" s="30" t="s">
        <v>37</v>
      </c>
      <c r="AG16" s="31">
        <f>Assumptions!$B$23</f>
        <v>75</v>
      </c>
      <c r="AH16" s="32" t="s">
        <v>5</v>
      </c>
      <c r="AI16" s="18">
        <f>Assumptions!$D$35</f>
        <v>2050</v>
      </c>
      <c r="AJ16" s="32" t="s">
        <v>6</v>
      </c>
      <c r="AK16" s="28"/>
      <c r="AL16" s="28"/>
      <c r="AM16" s="33">
        <f>AE16*AG16*AI16</f>
        <v>23062500</v>
      </c>
    </row>
    <row r="17" spans="1:39" ht="11.1" customHeight="1">
      <c r="A17" s="29">
        <f>I8*(100%-C10)</f>
        <v>360</v>
      </c>
      <c r="B17" s="30" t="s">
        <v>38</v>
      </c>
      <c r="C17" s="31">
        <f>Assumptions!$B$24</f>
        <v>88</v>
      </c>
      <c r="D17" s="32" t="s">
        <v>5</v>
      </c>
      <c r="E17" s="18">
        <f>Assumptions!$E$32</f>
        <v>1950</v>
      </c>
      <c r="F17" s="32" t="s">
        <v>6</v>
      </c>
      <c r="G17" s="28"/>
      <c r="H17" s="28"/>
      <c r="I17" s="33">
        <f>A17*C17*E17</f>
        <v>61776000</v>
      </c>
      <c r="K17" s="29">
        <f>S8*(100%-M10)</f>
        <v>320</v>
      </c>
      <c r="L17" s="30" t="s">
        <v>38</v>
      </c>
      <c r="M17" s="31">
        <f>Assumptions!$B$24</f>
        <v>88</v>
      </c>
      <c r="N17" s="32" t="s">
        <v>5</v>
      </c>
      <c r="O17" s="18">
        <f>Assumptions!$E$33</f>
        <v>1950</v>
      </c>
      <c r="P17" s="32" t="s">
        <v>6</v>
      </c>
      <c r="Q17" s="28"/>
      <c r="R17" s="28"/>
      <c r="S17" s="33">
        <f>K17*M17*O17</f>
        <v>54912000</v>
      </c>
      <c r="U17" s="29">
        <f>AC8*(100%-W10)</f>
        <v>280</v>
      </c>
      <c r="V17" s="30" t="s">
        <v>38</v>
      </c>
      <c r="W17" s="31">
        <f>Assumptions!$B$24</f>
        <v>88</v>
      </c>
      <c r="X17" s="32" t="s">
        <v>5</v>
      </c>
      <c r="Y17" s="18">
        <f>Assumptions!$E$34</f>
        <v>1950</v>
      </c>
      <c r="Z17" s="32" t="s">
        <v>6</v>
      </c>
      <c r="AA17" s="28"/>
      <c r="AB17" s="28"/>
      <c r="AC17" s="33">
        <f>U17*W17*Y17</f>
        <v>48048000</v>
      </c>
      <c r="AE17" s="29">
        <f>AM8*(100%-AG10)</f>
        <v>240</v>
      </c>
      <c r="AF17" s="30" t="s">
        <v>38</v>
      </c>
      <c r="AG17" s="31">
        <f>Assumptions!$B$24</f>
        <v>88</v>
      </c>
      <c r="AH17" s="32" t="s">
        <v>5</v>
      </c>
      <c r="AI17" s="18">
        <f>Assumptions!$E$35</f>
        <v>2050</v>
      </c>
      <c r="AJ17" s="32" t="s">
        <v>6</v>
      </c>
      <c r="AK17" s="28"/>
      <c r="AL17" s="28"/>
      <c r="AM17" s="33">
        <f>AE17*AG17*AI17</f>
        <v>43296000</v>
      </c>
    </row>
    <row r="18" spans="1:39" ht="11.1" customHeight="1">
      <c r="A18" s="29">
        <f>I9*(100%-C10)</f>
        <v>225</v>
      </c>
      <c r="B18" s="30" t="s">
        <v>39</v>
      </c>
      <c r="C18" s="31">
        <f>Assumptions!$B$25</f>
        <v>120</v>
      </c>
      <c r="D18" s="32" t="s">
        <v>5</v>
      </c>
      <c r="E18" s="18">
        <f>Assumptions!$F$32</f>
        <v>1950</v>
      </c>
      <c r="F18" s="32" t="s">
        <v>6</v>
      </c>
      <c r="G18" s="28"/>
      <c r="H18" s="28"/>
      <c r="I18" s="33">
        <f>A18*C18*E18</f>
        <v>52650000</v>
      </c>
      <c r="K18" s="29">
        <f>S9*(100%-M10)</f>
        <v>200</v>
      </c>
      <c r="L18" s="30" t="s">
        <v>39</v>
      </c>
      <c r="M18" s="31">
        <f>Assumptions!$B$25</f>
        <v>120</v>
      </c>
      <c r="N18" s="32" t="s">
        <v>5</v>
      </c>
      <c r="O18" s="18">
        <f>Assumptions!$F$33</f>
        <v>1950</v>
      </c>
      <c r="P18" s="32" t="s">
        <v>6</v>
      </c>
      <c r="Q18" s="28"/>
      <c r="R18" s="28"/>
      <c r="S18" s="33">
        <f>K18*M18*O18</f>
        <v>46800000</v>
      </c>
      <c r="U18" s="29">
        <f>AC9*(100%-W10)</f>
        <v>175</v>
      </c>
      <c r="V18" s="30" t="s">
        <v>39</v>
      </c>
      <c r="W18" s="31">
        <f>Assumptions!$B$25</f>
        <v>120</v>
      </c>
      <c r="X18" s="32" t="s">
        <v>5</v>
      </c>
      <c r="Y18" s="18">
        <f>Assumptions!$F$34</f>
        <v>1950</v>
      </c>
      <c r="Z18" s="32" t="s">
        <v>6</v>
      </c>
      <c r="AA18" s="28"/>
      <c r="AB18" s="28"/>
      <c r="AC18" s="33">
        <f>U18*W18*Y18</f>
        <v>40950000</v>
      </c>
      <c r="AE18" s="29">
        <f>AM9*(100%-AG10)</f>
        <v>150</v>
      </c>
      <c r="AF18" s="30" t="s">
        <v>39</v>
      </c>
      <c r="AG18" s="31">
        <f>Assumptions!$B$25</f>
        <v>120</v>
      </c>
      <c r="AH18" s="32" t="s">
        <v>5</v>
      </c>
      <c r="AI18" s="18">
        <f>Assumptions!$F$35</f>
        <v>2050</v>
      </c>
      <c r="AJ18" s="32" t="s">
        <v>6</v>
      </c>
      <c r="AK18" s="28"/>
      <c r="AL18" s="28"/>
      <c r="AM18" s="33">
        <f>AE18*AG18*AI18</f>
        <v>36900000</v>
      </c>
    </row>
    <row r="19" spans="1:39" ht="11.1" customHeight="1">
      <c r="A19" s="29">
        <f>I10*(100%-C10)</f>
        <v>90</v>
      </c>
      <c r="B19" s="30" t="s">
        <v>40</v>
      </c>
      <c r="C19" s="31">
        <f>Assumptions!$B$26</f>
        <v>150</v>
      </c>
      <c r="D19" s="32" t="s">
        <v>5</v>
      </c>
      <c r="E19" s="18">
        <f>Assumptions!G32</f>
        <v>1950</v>
      </c>
      <c r="F19" s="32" t="s">
        <v>6</v>
      </c>
      <c r="G19" s="28"/>
      <c r="H19" s="28"/>
      <c r="I19" s="33">
        <f>A19*C19*E19</f>
        <v>26325000</v>
      </c>
      <c r="K19" s="29">
        <f>S10*(100%-M10)</f>
        <v>80</v>
      </c>
      <c r="L19" s="30" t="s">
        <v>40</v>
      </c>
      <c r="M19" s="31">
        <f>Assumptions!$B$26</f>
        <v>150</v>
      </c>
      <c r="N19" s="32" t="s">
        <v>5</v>
      </c>
      <c r="O19" s="18">
        <f>Assumptions!$G$33</f>
        <v>1950</v>
      </c>
      <c r="P19" s="32" t="s">
        <v>6</v>
      </c>
      <c r="Q19" s="28"/>
      <c r="R19" s="28"/>
      <c r="S19" s="33">
        <f>K19*M19*O19</f>
        <v>23400000</v>
      </c>
      <c r="U19" s="29">
        <f>AC10*(100%-W10)</f>
        <v>70</v>
      </c>
      <c r="V19" s="30" t="s">
        <v>40</v>
      </c>
      <c r="W19" s="31">
        <f>Assumptions!$B$26</f>
        <v>150</v>
      </c>
      <c r="X19" s="32" t="s">
        <v>5</v>
      </c>
      <c r="Y19" s="18">
        <f>Assumptions!$G$34</f>
        <v>1950</v>
      </c>
      <c r="Z19" s="32" t="s">
        <v>6</v>
      </c>
      <c r="AA19" s="28"/>
      <c r="AB19" s="28"/>
      <c r="AC19" s="33">
        <f>U19*W19*Y19</f>
        <v>20475000</v>
      </c>
      <c r="AE19" s="29">
        <f>AM10*(100%-AG10)</f>
        <v>60</v>
      </c>
      <c r="AF19" s="30" t="s">
        <v>40</v>
      </c>
      <c r="AG19" s="31">
        <f>Assumptions!$B$26</f>
        <v>150</v>
      </c>
      <c r="AH19" s="32" t="s">
        <v>5</v>
      </c>
      <c r="AI19" s="18">
        <f>Assumptions!$G$35</f>
        <v>2050</v>
      </c>
      <c r="AJ19" s="32" t="s">
        <v>6</v>
      </c>
      <c r="AK19" s="28"/>
      <c r="AL19" s="28"/>
      <c r="AM19" s="33">
        <f>AE19*AG19*AI19</f>
        <v>18450000</v>
      </c>
    </row>
    <row r="20" spans="1:39" ht="11.1" customHeight="1">
      <c r="A20" s="26"/>
      <c r="B20" s="26"/>
      <c r="C20" s="26"/>
      <c r="D20" s="34"/>
      <c r="E20" s="26"/>
      <c r="F20" s="34"/>
      <c r="G20" s="26"/>
      <c r="H20" s="26"/>
      <c r="I20" s="35"/>
      <c r="K20" s="26"/>
      <c r="L20" s="26"/>
      <c r="M20" s="26"/>
      <c r="N20" s="34"/>
      <c r="O20" s="26"/>
      <c r="P20" s="34"/>
      <c r="Q20" s="26"/>
      <c r="R20" s="26"/>
      <c r="S20" s="35"/>
      <c r="U20" s="26"/>
      <c r="V20" s="26"/>
      <c r="W20" s="26"/>
      <c r="X20" s="34"/>
      <c r="Y20" s="26"/>
      <c r="Z20" s="34"/>
      <c r="AA20" s="26"/>
      <c r="AB20" s="26"/>
      <c r="AC20" s="35"/>
      <c r="AE20" s="26"/>
      <c r="AF20" s="26"/>
      <c r="AG20" s="26"/>
      <c r="AH20" s="34"/>
      <c r="AI20" s="26"/>
      <c r="AJ20" s="34"/>
      <c r="AK20" s="26"/>
      <c r="AL20" s="26"/>
      <c r="AM20" s="35"/>
    </row>
    <row r="21" spans="1:39" ht="11.1" customHeight="1">
      <c r="A21" s="17" t="str">
        <f>Assumptions!$D$12</f>
        <v>Neutral Tenure</v>
      </c>
      <c r="B21" s="17"/>
      <c r="C21"/>
      <c r="D21"/>
      <c r="E21" s="28"/>
      <c r="F21" s="32"/>
      <c r="G21" s="28"/>
      <c r="H21" s="28"/>
      <c r="I21" s="36"/>
      <c r="J21"/>
      <c r="K21" s="17" t="str">
        <f>Assumptions!$D$12</f>
        <v>Neutral Tenure</v>
      </c>
      <c r="L21" s="17"/>
      <c r="M21"/>
      <c r="N21"/>
      <c r="O21" s="28"/>
      <c r="P21" s="32"/>
      <c r="Q21" s="28"/>
      <c r="R21" s="28"/>
      <c r="S21" s="36"/>
      <c r="T21"/>
      <c r="U21" s="17" t="str">
        <f>Assumptions!$D$12</f>
        <v>Neutral Tenure</v>
      </c>
      <c r="V21" s="17"/>
      <c r="W21"/>
      <c r="X21"/>
      <c r="Y21" s="28"/>
      <c r="Z21" s="32"/>
      <c r="AA21" s="28"/>
      <c r="AB21" s="28"/>
      <c r="AC21" s="36"/>
      <c r="AD21"/>
      <c r="AE21" s="17" t="str">
        <f>Assumptions!$D$12</f>
        <v>Neutral Tenure</v>
      </c>
      <c r="AF21" s="17"/>
      <c r="AG21"/>
      <c r="AH21"/>
      <c r="AI21" s="28"/>
      <c r="AJ21" s="32"/>
      <c r="AK21" s="28"/>
      <c r="AL21" s="28"/>
      <c r="AM21" s="36"/>
    </row>
    <row r="22" spans="1:39" ht="11.1" customHeight="1">
      <c r="A22" s="29">
        <f>D10*C11*Assumptions!$H$13</f>
        <v>0</v>
      </c>
      <c r="B22" s="30" t="s">
        <v>36</v>
      </c>
      <c r="C22" s="37">
        <f>Assumptions!$E$24</f>
        <v>65</v>
      </c>
      <c r="D22" s="32" t="s">
        <v>7</v>
      </c>
      <c r="E22" s="28">
        <f>Assumptions!$C$37</f>
        <v>921</v>
      </c>
      <c r="F22" s="32" t="s">
        <v>6</v>
      </c>
      <c r="G22" s="28"/>
      <c r="H22" s="28"/>
      <c r="I22" s="33">
        <f>A22*C22*E22</f>
        <v>0</v>
      </c>
      <c r="J22"/>
      <c r="K22" s="29">
        <f>N10*M11*Assumptions!$H$13</f>
        <v>0</v>
      </c>
      <c r="L22" s="30" t="s">
        <v>36</v>
      </c>
      <c r="M22" s="37">
        <f>Assumptions!$E$24</f>
        <v>65</v>
      </c>
      <c r="N22" s="32" t="s">
        <v>7</v>
      </c>
      <c r="O22" s="28">
        <f>Assumptions!$C$38</f>
        <v>925</v>
      </c>
      <c r="P22" s="32" t="s">
        <v>6</v>
      </c>
      <c r="Q22" s="28"/>
      <c r="R22" s="28"/>
      <c r="S22" s="33">
        <f>K22*M22*O22</f>
        <v>0</v>
      </c>
      <c r="T22"/>
      <c r="U22" s="29">
        <f>X10*W11*Assumptions!$H$13</f>
        <v>0</v>
      </c>
      <c r="V22" s="30" t="s">
        <v>36</v>
      </c>
      <c r="W22" s="37">
        <f>Assumptions!$E$24</f>
        <v>65</v>
      </c>
      <c r="X22" s="32" t="s">
        <v>7</v>
      </c>
      <c r="Y22" s="28">
        <f>Assumptions!$C$39</f>
        <v>948</v>
      </c>
      <c r="Z22" s="32" t="s">
        <v>6</v>
      </c>
      <c r="AA22" s="28"/>
      <c r="AB22" s="28"/>
      <c r="AC22" s="33">
        <f>U22*W22*Y22</f>
        <v>0</v>
      </c>
      <c r="AD22"/>
      <c r="AE22" s="29">
        <f>AH10*AG11*Assumptions!$H$13</f>
        <v>0</v>
      </c>
      <c r="AF22" s="30" t="s">
        <v>36</v>
      </c>
      <c r="AG22" s="37">
        <f>Assumptions!$E$24</f>
        <v>65</v>
      </c>
      <c r="AH22" s="32" t="s">
        <v>7</v>
      </c>
      <c r="AI22" s="28">
        <f>Assumptions!$C$40</f>
        <v>1027</v>
      </c>
      <c r="AJ22" s="32" t="s">
        <v>6</v>
      </c>
      <c r="AK22" s="28"/>
      <c r="AL22" s="28"/>
      <c r="AM22" s="33">
        <f>AE22*AG22*AI22</f>
        <v>0</v>
      </c>
    </row>
    <row r="23" spans="1:39" ht="11.1" customHeight="1">
      <c r="A23" s="29">
        <f>D10*C11*Assumptions!$H$14</f>
        <v>70</v>
      </c>
      <c r="B23" s="30" t="s">
        <v>90</v>
      </c>
      <c r="C23" s="37">
        <f>Assumptions!$E$25</f>
        <v>83</v>
      </c>
      <c r="D23" s="32" t="s">
        <v>7</v>
      </c>
      <c r="E23" s="28">
        <f>Assumptions!$D$37</f>
        <v>891</v>
      </c>
      <c r="F23" s="32" t="s">
        <v>6</v>
      </c>
      <c r="G23" s="28"/>
      <c r="H23" s="28"/>
      <c r="I23" s="33">
        <f>A23*C23*E23</f>
        <v>5176710</v>
      </c>
      <c r="J23"/>
      <c r="K23" s="29">
        <f>N10*M11*Assumptions!$H$14</f>
        <v>140</v>
      </c>
      <c r="L23" s="30" t="s">
        <v>90</v>
      </c>
      <c r="M23" s="37">
        <f>Assumptions!$E$25</f>
        <v>83</v>
      </c>
      <c r="N23" s="32" t="s">
        <v>7</v>
      </c>
      <c r="O23" s="28">
        <f>Assumptions!$D$38</f>
        <v>898</v>
      </c>
      <c r="P23" s="32" t="s">
        <v>6</v>
      </c>
      <c r="Q23" s="28"/>
      <c r="R23" s="28"/>
      <c r="S23" s="33">
        <f>K23*M23*O23</f>
        <v>10434760</v>
      </c>
      <c r="T23"/>
      <c r="U23" s="29">
        <f>X10*W11*Assumptions!$H$14</f>
        <v>210</v>
      </c>
      <c r="V23" s="30" t="s">
        <v>90</v>
      </c>
      <c r="W23" s="37">
        <f>Assumptions!$E$25</f>
        <v>83</v>
      </c>
      <c r="X23" s="32" t="s">
        <v>7</v>
      </c>
      <c r="Y23" s="28">
        <f>Assumptions!$D$39</f>
        <v>932</v>
      </c>
      <c r="Z23" s="32" t="s">
        <v>6</v>
      </c>
      <c r="AA23" s="28"/>
      <c r="AB23" s="28"/>
      <c r="AC23" s="33">
        <f>U23*W23*Y23</f>
        <v>16244760</v>
      </c>
      <c r="AD23"/>
      <c r="AE23" s="29">
        <f>AH10*AG11*Assumptions!$H$14</f>
        <v>280</v>
      </c>
      <c r="AF23" s="30" t="s">
        <v>90</v>
      </c>
      <c r="AG23" s="37">
        <f>Assumptions!$E$25</f>
        <v>83</v>
      </c>
      <c r="AH23" s="32" t="s">
        <v>7</v>
      </c>
      <c r="AI23" s="28">
        <f>Assumptions!$D$40</f>
        <v>1057</v>
      </c>
      <c r="AJ23" s="32" t="s">
        <v>6</v>
      </c>
      <c r="AK23" s="28"/>
      <c r="AL23" s="28"/>
      <c r="AM23" s="33">
        <f>AE23*AG23*AI23</f>
        <v>24564680</v>
      </c>
    </row>
    <row r="24" spans="1:39" ht="11.1" customHeight="1">
      <c r="A24" s="29">
        <f>D10*C11*Assumptions!$H$15</f>
        <v>30</v>
      </c>
      <c r="B24" s="30" t="s">
        <v>91</v>
      </c>
      <c r="C24" s="37">
        <f>Assumptions!$E$26</f>
        <v>94</v>
      </c>
      <c r="D24" s="32" t="s">
        <v>7</v>
      </c>
      <c r="E24" s="28">
        <f>Assumptions!$E$37</f>
        <v>848</v>
      </c>
      <c r="F24" s="32" t="s">
        <v>6</v>
      </c>
      <c r="G24" s="28"/>
      <c r="H24" s="28"/>
      <c r="I24" s="33">
        <f>A24*C24*E24</f>
        <v>2391360</v>
      </c>
      <c r="J24"/>
      <c r="K24" s="29">
        <f>N10*M11*Assumptions!$H$15</f>
        <v>60</v>
      </c>
      <c r="L24" s="30" t="s">
        <v>91</v>
      </c>
      <c r="M24" s="37">
        <f>Assumptions!$E$26</f>
        <v>94</v>
      </c>
      <c r="N24" s="32" t="s">
        <v>7</v>
      </c>
      <c r="O24" s="28">
        <f>Assumptions!$E$38</f>
        <v>855</v>
      </c>
      <c r="P24" s="32" t="s">
        <v>6</v>
      </c>
      <c r="Q24" s="28"/>
      <c r="R24" s="28"/>
      <c r="S24" s="33">
        <f>K24*M24*O24</f>
        <v>4822200</v>
      </c>
      <c r="T24"/>
      <c r="U24" s="29">
        <f>X10*W11*Assumptions!$H$15</f>
        <v>90</v>
      </c>
      <c r="V24" s="30" t="s">
        <v>91</v>
      </c>
      <c r="W24" s="37">
        <f>Assumptions!$E$26</f>
        <v>94</v>
      </c>
      <c r="X24" s="32" t="s">
        <v>7</v>
      </c>
      <c r="Y24" s="28">
        <f>Assumptions!$E$39</f>
        <v>886</v>
      </c>
      <c r="Z24" s="32" t="s">
        <v>6</v>
      </c>
      <c r="AA24" s="28"/>
      <c r="AB24" s="28"/>
      <c r="AC24" s="33">
        <f>U24*W24*Y24</f>
        <v>7495560</v>
      </c>
      <c r="AD24"/>
      <c r="AE24" s="29">
        <f>AH10*AG11*Assumptions!$H$15</f>
        <v>120</v>
      </c>
      <c r="AF24" s="30" t="s">
        <v>91</v>
      </c>
      <c r="AG24" s="37">
        <f>Assumptions!$E$26</f>
        <v>94</v>
      </c>
      <c r="AH24" s="32" t="s">
        <v>7</v>
      </c>
      <c r="AI24" s="28">
        <f>Assumptions!$E$40</f>
        <v>1001</v>
      </c>
      <c r="AJ24" s="32" t="s">
        <v>6</v>
      </c>
      <c r="AK24" s="28"/>
      <c r="AL24" s="28"/>
      <c r="AM24" s="33">
        <f>AE24*AG24*AI24</f>
        <v>11291280</v>
      </c>
    </row>
    <row r="25" spans="1:39" ht="11.1" customHeight="1">
      <c r="A25" s="38"/>
      <c r="B25" s="26"/>
      <c r="C25" s="39"/>
      <c r="D25" s="34"/>
      <c r="E25" s="26"/>
      <c r="F25" s="34"/>
      <c r="G25" s="26"/>
      <c r="H25" s="26"/>
      <c r="I25" s="40"/>
      <c r="K25" s="38"/>
      <c r="L25" s="26"/>
      <c r="M25" s="39"/>
      <c r="N25" s="34"/>
      <c r="O25" s="26"/>
      <c r="P25" s="34"/>
      <c r="Q25" s="26"/>
      <c r="R25" s="26"/>
      <c r="S25" s="40"/>
      <c r="U25" s="38"/>
      <c r="V25" s="26"/>
      <c r="W25" s="39"/>
      <c r="X25" s="34"/>
      <c r="Y25" s="26"/>
      <c r="Z25" s="34"/>
      <c r="AA25" s="26"/>
      <c r="AB25" s="26"/>
      <c r="AC25" s="40"/>
      <c r="AE25" s="38"/>
      <c r="AF25" s="26"/>
      <c r="AG25" s="39"/>
      <c r="AH25" s="34"/>
      <c r="AI25" s="26"/>
      <c r="AJ25" s="34"/>
      <c r="AK25" s="26"/>
      <c r="AL25" s="26"/>
      <c r="AM25" s="40"/>
    </row>
    <row r="26" spans="1:39" ht="11.1" customHeight="1">
      <c r="A26" s="17" t="s">
        <v>92</v>
      </c>
      <c r="B26" s="17"/>
      <c r="C26" s="20">
        <f>Assumptions!$E$18</f>
        <v>0</v>
      </c>
      <c r="D26" s="32" t="s">
        <v>89</v>
      </c>
      <c r="E26" s="28"/>
      <c r="F26" s="32"/>
      <c r="G26" s="28"/>
      <c r="H26" s="28"/>
      <c r="I26" s="36"/>
      <c r="K26" s="17" t="s">
        <v>92</v>
      </c>
      <c r="L26" s="17"/>
      <c r="M26" s="20">
        <f>Assumptions!$E$18</f>
        <v>0</v>
      </c>
      <c r="N26" s="32" t="s">
        <v>89</v>
      </c>
      <c r="O26" s="28"/>
      <c r="P26" s="32"/>
      <c r="Q26" s="28"/>
      <c r="R26" s="28"/>
      <c r="S26" s="36"/>
      <c r="U26" s="17" t="s">
        <v>92</v>
      </c>
      <c r="V26" s="17"/>
      <c r="W26" s="20">
        <f>Assumptions!$E$18</f>
        <v>0</v>
      </c>
      <c r="X26" s="32" t="s">
        <v>89</v>
      </c>
      <c r="Y26" s="28"/>
      <c r="Z26" s="32"/>
      <c r="AA26" s="28"/>
      <c r="AB26" s="28"/>
      <c r="AC26" s="36"/>
      <c r="AE26" s="17" t="s">
        <v>92</v>
      </c>
      <c r="AF26" s="17"/>
      <c r="AG26" s="20">
        <f>Assumptions!$E$18</f>
        <v>0</v>
      </c>
      <c r="AH26" s="32" t="s">
        <v>89</v>
      </c>
      <c r="AI26" s="28"/>
      <c r="AJ26" s="32"/>
      <c r="AK26" s="28"/>
      <c r="AL26" s="28"/>
      <c r="AM26" s="36"/>
    </row>
    <row r="27" spans="1:39" ht="11.1" customHeight="1">
      <c r="A27" s="29">
        <f>D10*E11*0.3</f>
        <v>0</v>
      </c>
      <c r="B27" s="30" t="s">
        <v>36</v>
      </c>
      <c r="C27" s="37">
        <f>C15</f>
        <v>61</v>
      </c>
      <c r="D27" s="32" t="s">
        <v>93</v>
      </c>
      <c r="E27" s="28">
        <f>E15*C26</f>
        <v>0</v>
      </c>
      <c r="F27" s="32" t="s">
        <v>6</v>
      </c>
      <c r="G27" s="28"/>
      <c r="H27" s="28"/>
      <c r="I27" s="33">
        <f>A27*C27*E27</f>
        <v>0</v>
      </c>
      <c r="K27" s="29">
        <f>N10*O11*0.3</f>
        <v>0</v>
      </c>
      <c r="L27" s="30" t="s">
        <v>36</v>
      </c>
      <c r="M27" s="37">
        <f>M15</f>
        <v>61</v>
      </c>
      <c r="N27" s="32" t="s">
        <v>93</v>
      </c>
      <c r="O27" s="28">
        <f>O15*M26</f>
        <v>0</v>
      </c>
      <c r="P27" s="32" t="s">
        <v>6</v>
      </c>
      <c r="Q27" s="28"/>
      <c r="R27" s="28"/>
      <c r="S27" s="33">
        <f>K27*M27*O27</f>
        <v>0</v>
      </c>
      <c r="U27" s="29">
        <f>X10*Y11*0.3</f>
        <v>0</v>
      </c>
      <c r="V27" s="30" t="s">
        <v>36</v>
      </c>
      <c r="W27" s="37">
        <f>W15</f>
        <v>61</v>
      </c>
      <c r="X27" s="32" t="s">
        <v>93</v>
      </c>
      <c r="Y27" s="28">
        <f>Y15*W26</f>
        <v>0</v>
      </c>
      <c r="Z27" s="32" t="s">
        <v>6</v>
      </c>
      <c r="AA27" s="28"/>
      <c r="AB27" s="28"/>
      <c r="AC27" s="33">
        <f>U27*W27*Y27</f>
        <v>0</v>
      </c>
      <c r="AE27" s="29">
        <f>AH10*AI11*0.3</f>
        <v>0</v>
      </c>
      <c r="AF27" s="30" t="s">
        <v>36</v>
      </c>
      <c r="AG27" s="37">
        <f>AG15</f>
        <v>61</v>
      </c>
      <c r="AH27" s="32" t="s">
        <v>93</v>
      </c>
      <c r="AI27" s="28">
        <f>AI15*AG26</f>
        <v>0</v>
      </c>
      <c r="AJ27" s="32" t="s">
        <v>6</v>
      </c>
      <c r="AK27" s="28"/>
      <c r="AL27" s="28"/>
      <c r="AM27" s="33">
        <f>AE27*AG27*AI27</f>
        <v>0</v>
      </c>
    </row>
    <row r="28" spans="1:39" ht="11.1" customHeight="1">
      <c r="A28" s="29">
        <f>D10*E11*0.5</f>
        <v>0</v>
      </c>
      <c r="B28" s="30" t="s">
        <v>90</v>
      </c>
      <c r="C28" s="37">
        <f>C16</f>
        <v>75</v>
      </c>
      <c r="D28" s="32" t="s">
        <v>93</v>
      </c>
      <c r="E28" s="28">
        <f>E16*C26</f>
        <v>0</v>
      </c>
      <c r="F28" s="32" t="s">
        <v>6</v>
      </c>
      <c r="G28" s="28"/>
      <c r="H28" s="28"/>
      <c r="I28" s="33">
        <f>A28*C28*E28</f>
        <v>0</v>
      </c>
      <c r="K28" s="29">
        <f>N10*O11*0.5</f>
        <v>0</v>
      </c>
      <c r="L28" s="30" t="s">
        <v>90</v>
      </c>
      <c r="M28" s="37">
        <f>M16</f>
        <v>75</v>
      </c>
      <c r="N28" s="32" t="s">
        <v>93</v>
      </c>
      <c r="O28" s="28">
        <f>O16*M26</f>
        <v>0</v>
      </c>
      <c r="P28" s="32" t="s">
        <v>6</v>
      </c>
      <c r="Q28" s="28"/>
      <c r="R28" s="28"/>
      <c r="S28" s="33">
        <f>K28*M28*O28</f>
        <v>0</v>
      </c>
      <c r="U28" s="29">
        <f>X10*Y11*0.5</f>
        <v>0</v>
      </c>
      <c r="V28" s="30" t="s">
        <v>90</v>
      </c>
      <c r="W28" s="37">
        <f>W16</f>
        <v>75</v>
      </c>
      <c r="X28" s="32" t="s">
        <v>93</v>
      </c>
      <c r="Y28" s="28">
        <f>Y16*W26</f>
        <v>0</v>
      </c>
      <c r="Z28" s="32" t="s">
        <v>6</v>
      </c>
      <c r="AA28" s="28"/>
      <c r="AB28" s="28"/>
      <c r="AC28" s="33">
        <f>U28*W28*Y28</f>
        <v>0</v>
      </c>
      <c r="AE28" s="29">
        <f>AH10*AI11*0.5</f>
        <v>0</v>
      </c>
      <c r="AF28" s="30" t="s">
        <v>90</v>
      </c>
      <c r="AG28" s="37">
        <f>AG16</f>
        <v>75</v>
      </c>
      <c r="AH28" s="32" t="s">
        <v>93</v>
      </c>
      <c r="AI28" s="28">
        <f>AI16*AG26</f>
        <v>0</v>
      </c>
      <c r="AJ28" s="32" t="s">
        <v>6</v>
      </c>
      <c r="AK28" s="28"/>
      <c r="AL28" s="28"/>
      <c r="AM28" s="33">
        <f>AE28*AG28*AI28</f>
        <v>0</v>
      </c>
    </row>
    <row r="29" spans="1:39" ht="11.1" customHeight="1">
      <c r="A29" s="29">
        <f>D10*E11*0.2</f>
        <v>0</v>
      </c>
      <c r="B29" s="30" t="s">
        <v>91</v>
      </c>
      <c r="C29" s="37">
        <f>C17</f>
        <v>88</v>
      </c>
      <c r="D29" s="32" t="s">
        <v>93</v>
      </c>
      <c r="E29" s="28">
        <f>E17*C26</f>
        <v>0</v>
      </c>
      <c r="F29" s="32" t="s">
        <v>6</v>
      </c>
      <c r="G29" s="28"/>
      <c r="H29" s="28"/>
      <c r="I29" s="33">
        <f>A29*C29*E29</f>
        <v>0</v>
      </c>
      <c r="K29" s="29">
        <f>N10*O11*0.2</f>
        <v>0</v>
      </c>
      <c r="L29" s="30" t="s">
        <v>91</v>
      </c>
      <c r="M29" s="37">
        <f>M17</f>
        <v>88</v>
      </c>
      <c r="N29" s="32" t="s">
        <v>93</v>
      </c>
      <c r="O29" s="28">
        <f>O17*M26</f>
        <v>0</v>
      </c>
      <c r="P29" s="32" t="s">
        <v>6</v>
      </c>
      <c r="Q29" s="28"/>
      <c r="R29" s="28"/>
      <c r="S29" s="33">
        <f>K29*M29*O29</f>
        <v>0</v>
      </c>
      <c r="U29" s="29">
        <f>X10*Y11*0.2</f>
        <v>0</v>
      </c>
      <c r="V29" s="30" t="s">
        <v>91</v>
      </c>
      <c r="W29" s="37">
        <f>W17</f>
        <v>88</v>
      </c>
      <c r="X29" s="32" t="s">
        <v>93</v>
      </c>
      <c r="Y29" s="28">
        <f>Y17*W26</f>
        <v>0</v>
      </c>
      <c r="Z29" s="32" t="s">
        <v>6</v>
      </c>
      <c r="AA29" s="28"/>
      <c r="AB29" s="28"/>
      <c r="AC29" s="33">
        <f>U29*W29*Y29</f>
        <v>0</v>
      </c>
      <c r="AE29" s="29">
        <f>AH10*AI11*0.2</f>
        <v>0</v>
      </c>
      <c r="AF29" s="30" t="s">
        <v>91</v>
      </c>
      <c r="AG29" s="37">
        <f>AG17</f>
        <v>88</v>
      </c>
      <c r="AH29" s="32" t="s">
        <v>93</v>
      </c>
      <c r="AI29" s="28">
        <f>AI17*AG26</f>
        <v>0</v>
      </c>
      <c r="AJ29" s="32" t="s">
        <v>6</v>
      </c>
      <c r="AK29" s="28"/>
      <c r="AL29" s="28"/>
      <c r="AM29" s="33">
        <f>AE29*AG29*AI29</f>
        <v>0</v>
      </c>
    </row>
    <row r="30" spans="1:39" ht="11.1" customHeight="1">
      <c r="A30" s="38"/>
      <c r="B30" s="26"/>
      <c r="C30" s="39"/>
      <c r="D30" s="34"/>
      <c r="E30" s="26"/>
      <c r="F30" s="34"/>
      <c r="G30" s="26"/>
      <c r="H30" s="26"/>
      <c r="I30" s="40"/>
      <c r="K30" s="38"/>
      <c r="L30" s="26"/>
      <c r="M30" s="39"/>
      <c r="N30" s="34"/>
      <c r="O30" s="26"/>
      <c r="P30" s="34"/>
      <c r="Q30" s="26"/>
      <c r="R30" s="26"/>
      <c r="S30" s="40"/>
      <c r="U30" s="38"/>
      <c r="V30" s="26"/>
      <c r="W30" s="39"/>
      <c r="X30" s="34"/>
      <c r="Y30" s="26"/>
      <c r="Z30" s="34"/>
      <c r="AA30" s="26"/>
      <c r="AB30" s="26"/>
      <c r="AC30" s="40"/>
      <c r="AE30" s="38"/>
      <c r="AF30" s="26"/>
      <c r="AG30" s="39"/>
      <c r="AH30" s="34"/>
      <c r="AI30" s="26"/>
      <c r="AJ30" s="34"/>
      <c r="AK30" s="26"/>
      <c r="AL30" s="26"/>
      <c r="AM30" s="40"/>
    </row>
    <row r="31" spans="1:39" ht="11.1" customHeight="1">
      <c r="A31" s="17" t="s">
        <v>94</v>
      </c>
      <c r="B31" s="17"/>
      <c r="C31" s="20">
        <f>Assumptions!$F$18</f>
        <v>0</v>
      </c>
      <c r="D31" s="32" t="s">
        <v>89</v>
      </c>
      <c r="E31" s="28"/>
      <c r="F31" s="32"/>
      <c r="G31" s="28"/>
      <c r="H31" s="28"/>
      <c r="I31" s="36"/>
      <c r="K31" s="17" t="s">
        <v>94</v>
      </c>
      <c r="L31" s="17"/>
      <c r="M31" s="20">
        <f>Assumptions!$F$18</f>
        <v>0</v>
      </c>
      <c r="N31" s="32" t="s">
        <v>89</v>
      </c>
      <c r="O31" s="28"/>
      <c r="P31" s="32"/>
      <c r="Q31" s="28"/>
      <c r="R31" s="28"/>
      <c r="S31" s="36"/>
      <c r="U31" s="17" t="s">
        <v>94</v>
      </c>
      <c r="V31" s="17"/>
      <c r="W31" s="20">
        <f>Assumptions!$F$18</f>
        <v>0</v>
      </c>
      <c r="X31" s="32" t="s">
        <v>89</v>
      </c>
      <c r="Y31" s="28"/>
      <c r="Z31" s="32"/>
      <c r="AA31" s="28"/>
      <c r="AB31" s="28"/>
      <c r="AC31" s="36"/>
      <c r="AE31" s="17" t="s">
        <v>94</v>
      </c>
      <c r="AF31" s="17"/>
      <c r="AG31" s="20">
        <f>Assumptions!$F$18</f>
        <v>0</v>
      </c>
      <c r="AH31" s="32" t="s">
        <v>89</v>
      </c>
      <c r="AI31" s="28"/>
      <c r="AJ31" s="32"/>
      <c r="AK31" s="28"/>
      <c r="AL31" s="28"/>
      <c r="AM31" s="36"/>
    </row>
    <row r="32" spans="1:39" ht="11.1" customHeight="1">
      <c r="A32" s="29">
        <f>D10*G11*0.3</f>
        <v>0</v>
      </c>
      <c r="B32" s="30" t="s">
        <v>36</v>
      </c>
      <c r="C32" s="37">
        <f>C15</f>
        <v>61</v>
      </c>
      <c r="D32" s="32" t="s">
        <v>93</v>
      </c>
      <c r="E32" s="28">
        <f>E15*C31</f>
        <v>0</v>
      </c>
      <c r="F32" s="32" t="s">
        <v>6</v>
      </c>
      <c r="G32" s="28"/>
      <c r="H32" s="28"/>
      <c r="I32" s="33">
        <f>A32*C32*E32</f>
        <v>0</v>
      </c>
      <c r="K32" s="29">
        <f>N10*Q11*0.3</f>
        <v>0</v>
      </c>
      <c r="L32" s="30" t="s">
        <v>36</v>
      </c>
      <c r="M32" s="37">
        <f>M15</f>
        <v>61</v>
      </c>
      <c r="N32" s="32" t="s">
        <v>93</v>
      </c>
      <c r="O32" s="28">
        <f>O15*M31</f>
        <v>0</v>
      </c>
      <c r="P32" s="32" t="s">
        <v>6</v>
      </c>
      <c r="Q32" s="28"/>
      <c r="R32" s="28"/>
      <c r="S32" s="33">
        <f>K32*M32*O32</f>
        <v>0</v>
      </c>
      <c r="U32" s="29">
        <f>X10*AA11*0.3</f>
        <v>0</v>
      </c>
      <c r="V32" s="30" t="s">
        <v>36</v>
      </c>
      <c r="W32" s="37">
        <f>W15</f>
        <v>61</v>
      </c>
      <c r="X32" s="32" t="s">
        <v>93</v>
      </c>
      <c r="Y32" s="28">
        <f>Y15*W31</f>
        <v>0</v>
      </c>
      <c r="Z32" s="32" t="s">
        <v>6</v>
      </c>
      <c r="AA32" s="28"/>
      <c r="AB32" s="28"/>
      <c r="AC32" s="33">
        <f>U32*W32*Y32</f>
        <v>0</v>
      </c>
      <c r="AE32" s="29">
        <f>AH10*AK11*0.3</f>
        <v>0</v>
      </c>
      <c r="AF32" s="30" t="s">
        <v>36</v>
      </c>
      <c r="AG32" s="37">
        <f>AG15</f>
        <v>61</v>
      </c>
      <c r="AH32" s="32" t="s">
        <v>93</v>
      </c>
      <c r="AI32" s="28">
        <f>AI15*AG31</f>
        <v>0</v>
      </c>
      <c r="AJ32" s="32" t="s">
        <v>6</v>
      </c>
      <c r="AK32" s="28"/>
      <c r="AL32" s="28"/>
      <c r="AM32" s="33">
        <f>AE32*AG32*AI32</f>
        <v>0</v>
      </c>
    </row>
    <row r="33" spans="1:39" ht="11.1" customHeight="1">
      <c r="A33" s="29">
        <f>D10*G11*0.5</f>
        <v>0</v>
      </c>
      <c r="B33" s="30" t="s">
        <v>90</v>
      </c>
      <c r="C33" s="37">
        <f>C16</f>
        <v>75</v>
      </c>
      <c r="D33" s="32" t="s">
        <v>93</v>
      </c>
      <c r="E33" s="28">
        <f>E16*C31</f>
        <v>0</v>
      </c>
      <c r="F33" s="32" t="s">
        <v>6</v>
      </c>
      <c r="G33" s="28"/>
      <c r="H33" s="28"/>
      <c r="I33" s="33">
        <f>A33*C33*E33</f>
        <v>0</v>
      </c>
      <c r="K33" s="29">
        <f>N10*Q11*0.5</f>
        <v>0</v>
      </c>
      <c r="L33" s="30" t="s">
        <v>90</v>
      </c>
      <c r="M33" s="37">
        <f>M16</f>
        <v>75</v>
      </c>
      <c r="N33" s="32" t="s">
        <v>93</v>
      </c>
      <c r="O33" s="28">
        <f>O16*M31</f>
        <v>0</v>
      </c>
      <c r="P33" s="32" t="s">
        <v>6</v>
      </c>
      <c r="Q33" s="28"/>
      <c r="R33" s="28"/>
      <c r="S33" s="33">
        <f>K33*M33*O33</f>
        <v>0</v>
      </c>
      <c r="U33" s="29">
        <f>X10*AA11*0.5</f>
        <v>0</v>
      </c>
      <c r="V33" s="30" t="s">
        <v>90</v>
      </c>
      <c r="W33" s="37">
        <f>W16</f>
        <v>75</v>
      </c>
      <c r="X33" s="32" t="s">
        <v>93</v>
      </c>
      <c r="Y33" s="28">
        <f>Y16*W31</f>
        <v>0</v>
      </c>
      <c r="Z33" s="32" t="s">
        <v>6</v>
      </c>
      <c r="AA33" s="28"/>
      <c r="AB33" s="28"/>
      <c r="AC33" s="33">
        <f>U33*W33*Y33</f>
        <v>0</v>
      </c>
      <c r="AE33" s="29">
        <f>AH10*AK11*0.5</f>
        <v>0</v>
      </c>
      <c r="AF33" s="30" t="s">
        <v>90</v>
      </c>
      <c r="AG33" s="37">
        <f>AG16</f>
        <v>75</v>
      </c>
      <c r="AH33" s="32" t="s">
        <v>93</v>
      </c>
      <c r="AI33" s="28">
        <f>AI16*AG31</f>
        <v>0</v>
      </c>
      <c r="AJ33" s="32" t="s">
        <v>6</v>
      </c>
      <c r="AK33" s="28"/>
      <c r="AL33" s="28"/>
      <c r="AM33" s="33">
        <f>AE33*AG33*AI33</f>
        <v>0</v>
      </c>
    </row>
    <row r="34" spans="1:39" ht="11.1" customHeight="1">
      <c r="A34" s="29">
        <f>D10*G11*0.2</f>
        <v>0</v>
      </c>
      <c r="B34" s="30" t="s">
        <v>91</v>
      </c>
      <c r="C34" s="37">
        <f>C17</f>
        <v>88</v>
      </c>
      <c r="D34" s="32" t="s">
        <v>93</v>
      </c>
      <c r="E34" s="28">
        <f>E17*C31</f>
        <v>0</v>
      </c>
      <c r="F34" s="32" t="s">
        <v>6</v>
      </c>
      <c r="G34" s="28"/>
      <c r="H34" s="28"/>
      <c r="I34" s="33">
        <f>A34*C34*E34</f>
        <v>0</v>
      </c>
      <c r="K34" s="29">
        <f>N10*Q11*0.2</f>
        <v>0</v>
      </c>
      <c r="L34" s="30" t="s">
        <v>91</v>
      </c>
      <c r="M34" s="37">
        <f>M17</f>
        <v>88</v>
      </c>
      <c r="N34" s="32" t="s">
        <v>93</v>
      </c>
      <c r="O34" s="28">
        <f>O17*M31</f>
        <v>0</v>
      </c>
      <c r="P34" s="32" t="s">
        <v>6</v>
      </c>
      <c r="Q34" s="28"/>
      <c r="R34" s="28"/>
      <c r="S34" s="33">
        <f>K34*M34*O34</f>
        <v>0</v>
      </c>
      <c r="U34" s="29">
        <f>X10*AA11*0.2</f>
        <v>0</v>
      </c>
      <c r="V34" s="30" t="s">
        <v>91</v>
      </c>
      <c r="W34" s="37">
        <f>W17</f>
        <v>88</v>
      </c>
      <c r="X34" s="32" t="s">
        <v>93</v>
      </c>
      <c r="Y34" s="28">
        <f>Y17*W31</f>
        <v>0</v>
      </c>
      <c r="Z34" s="32" t="s">
        <v>6</v>
      </c>
      <c r="AA34" s="28"/>
      <c r="AB34" s="28"/>
      <c r="AC34" s="33">
        <f>U34*W34*Y34</f>
        <v>0</v>
      </c>
      <c r="AE34" s="29">
        <f>AH10*AK11*0.2</f>
        <v>0</v>
      </c>
      <c r="AF34" s="30" t="s">
        <v>91</v>
      </c>
      <c r="AG34" s="37">
        <f>AG17</f>
        <v>88</v>
      </c>
      <c r="AH34" s="32" t="s">
        <v>93</v>
      </c>
      <c r="AI34" s="28">
        <f>AI17*AG31</f>
        <v>0</v>
      </c>
      <c r="AJ34" s="32" t="s">
        <v>6</v>
      </c>
      <c r="AK34" s="28"/>
      <c r="AL34" s="28"/>
      <c r="AM34" s="33">
        <f>AE34*AG34*AI34</f>
        <v>0</v>
      </c>
    </row>
    <row r="35" spans="1:39" ht="11.1" customHeight="1">
      <c r="A35" s="41">
        <f>SUM(A15:A34)</f>
        <v>1000</v>
      </c>
      <c r="B35" s="34" t="s">
        <v>95</v>
      </c>
      <c r="C35" s="26"/>
      <c r="D35" s="26"/>
      <c r="E35" s="26"/>
      <c r="F35" s="26"/>
      <c r="G35" s="26"/>
      <c r="H35" s="26"/>
      <c r="I35" s="35"/>
      <c r="K35" s="41">
        <f>SUM(K15:K34)</f>
        <v>1000</v>
      </c>
      <c r="L35" s="34" t="s">
        <v>95</v>
      </c>
      <c r="M35" s="26"/>
      <c r="N35" s="26"/>
      <c r="O35" s="26"/>
      <c r="P35" s="26"/>
      <c r="Q35" s="26"/>
      <c r="R35" s="26"/>
      <c r="S35" s="35"/>
      <c r="U35" s="41">
        <f>SUM(U15:U34)</f>
        <v>1000</v>
      </c>
      <c r="V35" s="34" t="s">
        <v>95</v>
      </c>
      <c r="W35" s="26"/>
      <c r="X35" s="26"/>
      <c r="Y35" s="26"/>
      <c r="Z35" s="26"/>
      <c r="AA35" s="26"/>
      <c r="AB35" s="26"/>
      <c r="AC35" s="35"/>
      <c r="AE35" s="41">
        <f>SUM(AE15:AE34)</f>
        <v>1000</v>
      </c>
      <c r="AF35" s="34" t="s">
        <v>95</v>
      </c>
      <c r="AG35" s="26"/>
      <c r="AH35" s="26"/>
      <c r="AI35" s="26"/>
      <c r="AJ35" s="26"/>
      <c r="AK35" s="26"/>
      <c r="AL35" s="26"/>
      <c r="AM35" s="35"/>
    </row>
    <row r="36" spans="1:39" ht="11.1" customHeight="1">
      <c r="A36" s="25" t="s">
        <v>4</v>
      </c>
      <c r="B36" s="26"/>
      <c r="C36" s="26"/>
      <c r="D36" s="26"/>
      <c r="E36" s="26"/>
      <c r="F36" s="26"/>
      <c r="G36" s="26"/>
      <c r="H36" s="26"/>
      <c r="I36" s="42">
        <f>SUM(I15:I34)</f>
        <v>181225320</v>
      </c>
      <c r="K36" s="25" t="s">
        <v>4</v>
      </c>
      <c r="L36" s="26"/>
      <c r="M36" s="26"/>
      <c r="N36" s="26"/>
      <c r="O36" s="26"/>
      <c r="P36" s="26"/>
      <c r="Q36" s="26"/>
      <c r="R36" s="26"/>
      <c r="S36" s="42">
        <f>SUM(S15:S34)</f>
        <v>169618960</v>
      </c>
      <c r="U36" s="25" t="s">
        <v>4</v>
      </c>
      <c r="V36" s="26"/>
      <c r="W36" s="26"/>
      <c r="X36" s="26"/>
      <c r="Y36" s="26"/>
      <c r="Z36" s="26"/>
      <c r="AA36" s="26"/>
      <c r="AB36" s="26"/>
      <c r="AC36" s="42">
        <f>SUM(AC15:AC34)</f>
        <v>158807070</v>
      </c>
      <c r="AE36" s="25" t="s">
        <v>4</v>
      </c>
      <c r="AF36" s="26"/>
      <c r="AG36" s="26"/>
      <c r="AH36" s="26"/>
      <c r="AI36" s="26"/>
      <c r="AJ36" s="26"/>
      <c r="AK36" s="26"/>
      <c r="AL36" s="26"/>
      <c r="AM36" s="42">
        <f>SUM(AM15:AM34)</f>
        <v>157564460</v>
      </c>
    </row>
    <row r="37" ht="11.1" customHeight="1"/>
    <row r="38" spans="1:39" ht="11.1" customHeight="1">
      <c r="A38" s="25" t="s">
        <v>8</v>
      </c>
      <c r="B38" s="26"/>
      <c r="C38" s="26"/>
      <c r="D38" s="26"/>
      <c r="E38" s="26"/>
      <c r="F38" s="26"/>
      <c r="G38" s="26"/>
      <c r="H38" s="26"/>
      <c r="I38" s="40"/>
      <c r="K38" s="25" t="s">
        <v>8</v>
      </c>
      <c r="L38" s="26"/>
      <c r="M38" s="26"/>
      <c r="N38" s="26"/>
      <c r="O38" s="26"/>
      <c r="P38" s="26"/>
      <c r="Q38" s="26"/>
      <c r="R38" s="26"/>
      <c r="S38" s="40"/>
      <c r="U38" s="25" t="s">
        <v>8</v>
      </c>
      <c r="V38" s="26"/>
      <c r="W38" s="26"/>
      <c r="X38" s="26"/>
      <c r="Y38" s="26"/>
      <c r="Z38" s="26"/>
      <c r="AA38" s="26"/>
      <c r="AB38" s="26"/>
      <c r="AC38" s="40"/>
      <c r="AE38" s="25" t="s">
        <v>8</v>
      </c>
      <c r="AF38" s="26"/>
      <c r="AG38" s="26"/>
      <c r="AH38" s="26"/>
      <c r="AI38" s="26"/>
      <c r="AJ38" s="26"/>
      <c r="AK38" s="26"/>
      <c r="AL38" s="26"/>
      <c r="AM38" s="40"/>
    </row>
    <row r="39" spans="1:39" ht="11.1" customHeight="1">
      <c r="A39" s="16" t="s">
        <v>9</v>
      </c>
      <c r="B39" s="30" t="s">
        <v>36</v>
      </c>
      <c r="C39" s="43">
        <f>A15</f>
        <v>0</v>
      </c>
      <c r="D39" s="32" t="s">
        <v>96</v>
      </c>
      <c r="E39" s="18">
        <f>'Land Values'!D10</f>
        <v>6312.95</v>
      </c>
      <c r="F39" s="32" t="s">
        <v>97</v>
      </c>
      <c r="G39" s="28"/>
      <c r="H39" s="28"/>
      <c r="I39" s="33">
        <f>C39*E39</f>
        <v>0</v>
      </c>
      <c r="K39" s="16" t="s">
        <v>9</v>
      </c>
      <c r="L39" s="30" t="s">
        <v>36</v>
      </c>
      <c r="M39" s="43">
        <f>K15</f>
        <v>0</v>
      </c>
      <c r="N39" s="32" t="s">
        <v>96</v>
      </c>
      <c r="O39" s="18">
        <f>'Land Values'!E10</f>
        <v>6312.95</v>
      </c>
      <c r="P39" s="32" t="s">
        <v>97</v>
      </c>
      <c r="Q39" s="28"/>
      <c r="R39" s="28"/>
      <c r="S39" s="33">
        <f>M39*O39</f>
        <v>0</v>
      </c>
      <c r="U39" s="16" t="s">
        <v>9</v>
      </c>
      <c r="V39" s="30" t="s">
        <v>36</v>
      </c>
      <c r="W39" s="43">
        <f>U15</f>
        <v>0</v>
      </c>
      <c r="X39" s="32" t="s">
        <v>96</v>
      </c>
      <c r="Y39" s="18">
        <f>'Land Values'!F10</f>
        <v>6312.95</v>
      </c>
      <c r="Z39" s="32" t="s">
        <v>97</v>
      </c>
      <c r="AA39" s="28"/>
      <c r="AB39" s="28"/>
      <c r="AC39" s="33">
        <f>W39*Y39</f>
        <v>0</v>
      </c>
      <c r="AE39" s="16" t="s">
        <v>9</v>
      </c>
      <c r="AF39" s="30" t="s">
        <v>36</v>
      </c>
      <c r="AG39" s="43">
        <f>AE15</f>
        <v>0</v>
      </c>
      <c r="AH39" s="32" t="s">
        <v>96</v>
      </c>
      <c r="AI39" s="18">
        <f>'Land Values'!G10</f>
        <v>7481.735</v>
      </c>
      <c r="AJ39" s="32" t="s">
        <v>97</v>
      </c>
      <c r="AK39" s="28"/>
      <c r="AL39" s="28"/>
      <c r="AM39" s="33">
        <f>AG39*AI39</f>
        <v>0</v>
      </c>
    </row>
    <row r="40" spans="1:39" ht="11.1" customHeight="1">
      <c r="A40" s="17"/>
      <c r="B40" s="30" t="s">
        <v>98</v>
      </c>
      <c r="C40" s="43">
        <f>A16</f>
        <v>225</v>
      </c>
      <c r="D40" s="32" t="s">
        <v>96</v>
      </c>
      <c r="E40" s="18">
        <f>'Land Values'!D18</f>
        <v>15782.375</v>
      </c>
      <c r="F40" s="32" t="s">
        <v>97</v>
      </c>
      <c r="G40" s="28"/>
      <c r="H40" s="28"/>
      <c r="I40" s="33">
        <f>C40*E40</f>
        <v>3551034.375</v>
      </c>
      <c r="K40" s="17"/>
      <c r="L40" s="30" t="s">
        <v>98</v>
      </c>
      <c r="M40" s="43">
        <f>K16</f>
        <v>200</v>
      </c>
      <c r="N40" s="32" t="s">
        <v>96</v>
      </c>
      <c r="O40" s="18">
        <f>'Land Values'!E18</f>
        <v>15782.375</v>
      </c>
      <c r="P40" s="32" t="s">
        <v>97</v>
      </c>
      <c r="Q40" s="28"/>
      <c r="R40" s="28"/>
      <c r="S40" s="33">
        <f>M40*O40</f>
        <v>3156475</v>
      </c>
      <c r="U40" s="17"/>
      <c r="V40" s="30" t="s">
        <v>98</v>
      </c>
      <c r="W40" s="43">
        <f>U16</f>
        <v>175</v>
      </c>
      <c r="X40" s="32" t="s">
        <v>96</v>
      </c>
      <c r="Y40" s="18">
        <f>'Land Values'!F18</f>
        <v>15782.375</v>
      </c>
      <c r="Z40" s="32" t="s">
        <v>97</v>
      </c>
      <c r="AA40" s="28"/>
      <c r="AB40" s="28"/>
      <c r="AC40" s="33">
        <f>W40*Y40</f>
        <v>2761915.625</v>
      </c>
      <c r="AE40" s="17"/>
      <c r="AF40" s="30" t="s">
        <v>98</v>
      </c>
      <c r="AG40" s="43">
        <f>AE16</f>
        <v>150</v>
      </c>
      <c r="AH40" s="32" t="s">
        <v>96</v>
      </c>
      <c r="AI40" s="18">
        <f>'Land Values'!G18</f>
        <v>18704.3375</v>
      </c>
      <c r="AJ40" s="32" t="s">
        <v>97</v>
      </c>
      <c r="AK40" s="28"/>
      <c r="AL40" s="28"/>
      <c r="AM40" s="33">
        <f>AG40*AI40</f>
        <v>2805650.625</v>
      </c>
    </row>
    <row r="41" spans="1:39" ht="11.1" customHeight="1">
      <c r="A41" s="17"/>
      <c r="B41" s="30" t="s">
        <v>91</v>
      </c>
      <c r="C41" s="43">
        <f>A17</f>
        <v>360</v>
      </c>
      <c r="D41" s="32" t="s">
        <v>96</v>
      </c>
      <c r="E41" s="18">
        <f>'Land Values'!D26</f>
        <v>18037.000000000004</v>
      </c>
      <c r="F41" s="32" t="s">
        <v>97</v>
      </c>
      <c r="G41" s="28"/>
      <c r="H41" s="28"/>
      <c r="I41" s="33">
        <f>C41*E41</f>
        <v>6493320.0000000009</v>
      </c>
      <c r="K41" s="17"/>
      <c r="L41" s="30" t="s">
        <v>91</v>
      </c>
      <c r="M41" s="43">
        <f>K17</f>
        <v>320</v>
      </c>
      <c r="N41" s="32" t="s">
        <v>96</v>
      </c>
      <c r="O41" s="18">
        <f>'Land Values'!E26</f>
        <v>17808.428571428572</v>
      </c>
      <c r="P41" s="32" t="s">
        <v>97</v>
      </c>
      <c r="Q41" s="28"/>
      <c r="R41" s="28"/>
      <c r="S41" s="33">
        <f>M41*O41</f>
        <v>5698697.1428571437</v>
      </c>
      <c r="U41" s="17"/>
      <c r="V41" s="30" t="s">
        <v>91</v>
      </c>
      <c r="W41" s="43">
        <f>U17</f>
        <v>280</v>
      </c>
      <c r="X41" s="32" t="s">
        <v>96</v>
      </c>
      <c r="Y41" s="18">
        <f>'Land Values'!F26</f>
        <v>17808.428571428572</v>
      </c>
      <c r="Z41" s="32" t="s">
        <v>97</v>
      </c>
      <c r="AA41" s="28"/>
      <c r="AB41" s="28"/>
      <c r="AC41" s="33">
        <f>W41*Y41</f>
        <v>4986360</v>
      </c>
      <c r="AE41" s="17"/>
      <c r="AF41" s="30" t="s">
        <v>91</v>
      </c>
      <c r="AG41" s="43">
        <f>AE17</f>
        <v>240</v>
      </c>
      <c r="AH41" s="32" t="s">
        <v>96</v>
      </c>
      <c r="AI41" s="18">
        <f>'Land Values'!G26</f>
        <v>21147.814285714285</v>
      </c>
      <c r="AJ41" s="32" t="s">
        <v>97</v>
      </c>
      <c r="AK41" s="28"/>
      <c r="AL41" s="28"/>
      <c r="AM41" s="33">
        <f>AG41*AI41</f>
        <v>5075475.4285714282</v>
      </c>
    </row>
    <row r="42" spans="1:39" ht="11.1" customHeight="1">
      <c r="A42" s="17"/>
      <c r="B42" s="30" t="s">
        <v>99</v>
      </c>
      <c r="C42" s="43">
        <f>A18</f>
        <v>225</v>
      </c>
      <c r="D42" s="32" t="s">
        <v>96</v>
      </c>
      <c r="E42" s="18">
        <f>'Land Values'!D34</f>
        <v>25251.8</v>
      </c>
      <c r="F42" s="32" t="s">
        <v>97</v>
      </c>
      <c r="G42" s="28"/>
      <c r="H42" s="28"/>
      <c r="I42" s="33">
        <f>C42*E42</f>
        <v>5681655</v>
      </c>
      <c r="K42" s="17"/>
      <c r="L42" s="30" t="s">
        <v>99</v>
      </c>
      <c r="M42" s="43">
        <f>K18</f>
        <v>200</v>
      </c>
      <c r="N42" s="32" t="s">
        <v>96</v>
      </c>
      <c r="O42" s="18">
        <f>'Land Values'!E34</f>
        <v>24931.8</v>
      </c>
      <c r="P42" s="32" t="s">
        <v>97</v>
      </c>
      <c r="Q42" s="28"/>
      <c r="R42" s="28"/>
      <c r="S42" s="33">
        <f>M42*O42</f>
        <v>4986360</v>
      </c>
      <c r="U42" s="17"/>
      <c r="V42" s="30" t="s">
        <v>99</v>
      </c>
      <c r="W42" s="43">
        <f>U18</f>
        <v>175</v>
      </c>
      <c r="X42" s="32" t="s">
        <v>96</v>
      </c>
      <c r="Y42" s="18">
        <f>'Land Values'!F34</f>
        <v>24931.8</v>
      </c>
      <c r="Z42" s="32" t="s">
        <v>97</v>
      </c>
      <c r="AA42" s="28"/>
      <c r="AB42" s="28"/>
      <c r="AC42" s="33">
        <f>W42*Y42</f>
        <v>4363065</v>
      </c>
      <c r="AE42" s="17"/>
      <c r="AF42" s="30" t="s">
        <v>99</v>
      </c>
      <c r="AG42" s="43">
        <f>AE18</f>
        <v>150</v>
      </c>
      <c r="AH42" s="32" t="s">
        <v>96</v>
      </c>
      <c r="AI42" s="18">
        <f>'Land Values'!G34</f>
        <v>29606.94</v>
      </c>
      <c r="AJ42" s="32" t="s">
        <v>97</v>
      </c>
      <c r="AK42" s="28"/>
      <c r="AL42" s="28"/>
      <c r="AM42" s="33">
        <f>AG42*AI42</f>
        <v>4441041</v>
      </c>
    </row>
    <row r="43" spans="1:39" ht="11.1" customHeight="1">
      <c r="A43" s="4"/>
      <c r="B43" s="30" t="s">
        <v>100</v>
      </c>
      <c r="C43" s="43">
        <f>A19</f>
        <v>90</v>
      </c>
      <c r="D43" s="32" t="s">
        <v>96</v>
      </c>
      <c r="E43" s="18">
        <f>'Land Values'!D42</f>
        <v>31564.75</v>
      </c>
      <c r="F43" s="32" t="s">
        <v>97</v>
      </c>
      <c r="G43" s="155" t="s">
        <v>126</v>
      </c>
      <c r="H43" s="156">
        <f>SUM(I39:I43)</f>
        <v>18566836.875</v>
      </c>
      <c r="I43" s="33">
        <f>C43*E43</f>
        <v>2840827.5</v>
      </c>
      <c r="K43" s="4"/>
      <c r="L43" s="30" t="s">
        <v>100</v>
      </c>
      <c r="M43" s="43">
        <f>K19</f>
        <v>80</v>
      </c>
      <c r="N43" s="32" t="s">
        <v>96</v>
      </c>
      <c r="O43" s="18">
        <f>'Land Values'!E42</f>
        <v>31164.75</v>
      </c>
      <c r="P43" s="32" t="s">
        <v>97</v>
      </c>
      <c r="Q43" s="155" t="s">
        <v>126</v>
      </c>
      <c r="R43" s="156">
        <f>SUM(S39:S43)</f>
        <v>16334712.142857144</v>
      </c>
      <c r="S43" s="33">
        <f>M43*O43</f>
        <v>2493180</v>
      </c>
      <c r="U43" s="4"/>
      <c r="V43" s="30" t="s">
        <v>100</v>
      </c>
      <c r="W43" s="43">
        <f>U19</f>
        <v>70</v>
      </c>
      <c r="X43" s="32" t="s">
        <v>96</v>
      </c>
      <c r="Y43" s="18">
        <f>'Land Values'!F42</f>
        <v>31164.75</v>
      </c>
      <c r="Z43" s="32" t="s">
        <v>97</v>
      </c>
      <c r="AA43" s="155" t="s">
        <v>126</v>
      </c>
      <c r="AB43" s="156">
        <f>SUM(AC39:AC43)</f>
        <v>14292873.125</v>
      </c>
      <c r="AC43" s="33">
        <f>W43*Y43</f>
        <v>2181532.5</v>
      </c>
      <c r="AE43" s="4"/>
      <c r="AF43" s="30" t="s">
        <v>100</v>
      </c>
      <c r="AG43" s="43">
        <f>AE19</f>
        <v>60</v>
      </c>
      <c r="AH43" s="32" t="s">
        <v>96</v>
      </c>
      <c r="AI43" s="18">
        <f>'Land Values'!G42</f>
        <v>37008.675</v>
      </c>
      <c r="AJ43" s="32" t="s">
        <v>97</v>
      </c>
      <c r="AK43" s="155" t="s">
        <v>126</v>
      </c>
      <c r="AL43" s="156">
        <f>SUM(AM39:AM43)</f>
        <v>14542687.553571429</v>
      </c>
      <c r="AM43" s="33">
        <f>AG43*AI43</f>
        <v>2220520.5</v>
      </c>
    </row>
    <row r="44" spans="1:39" ht="11.1" customHeight="1">
      <c r="A44" s="17" t="s">
        <v>101</v>
      </c>
      <c r="B44" s="17"/>
      <c r="C44" s="28"/>
      <c r="D44" s="44"/>
      <c r="E44" s="45">
        <f>IF(H43&lt;125000,0%,IF(H43&lt;250000,1%,IF(H43&lt;500000,3%,IF(H43&lt;1000000,4%,IF(H43&gt;1000000,5%)))))</f>
        <v>0.05</v>
      </c>
      <c r="F44" s="32"/>
      <c r="G44" s="28"/>
      <c r="H44" s="28"/>
      <c r="I44" s="33">
        <f>SUM(I39:I43)*E44</f>
        <v>928341.84375</v>
      </c>
      <c r="K44" s="17" t="s">
        <v>101</v>
      </c>
      <c r="L44" s="17"/>
      <c r="M44" s="28"/>
      <c r="N44" s="44"/>
      <c r="O44" s="45">
        <f>IF(R43&lt;125000,0%,IF(R43&lt;250000,1%,IF(R43&lt;500000,3%,IF(R43&lt;1000000,4%,IF(R43&gt;1000000,5%)))))</f>
        <v>0.05</v>
      </c>
      <c r="P44" s="32"/>
      <c r="Q44" s="28"/>
      <c r="R44" s="28"/>
      <c r="S44" s="33">
        <f>SUM(S39:S43)*O44</f>
        <v>816735.60714285728</v>
      </c>
      <c r="U44" s="17" t="s">
        <v>101</v>
      </c>
      <c r="V44" s="17"/>
      <c r="W44" s="28"/>
      <c r="X44" s="44"/>
      <c r="Y44" s="45">
        <f>IF(AB43&lt;125000,0%,IF(AB43&lt;250000,1%,IF(AB43&lt;500000,3%,IF(AB43&lt;1000000,4%,IF(AB43&gt;1000000,5%)))))</f>
        <v>0.05</v>
      </c>
      <c r="Z44" s="32"/>
      <c r="AA44" s="28"/>
      <c r="AB44" s="28"/>
      <c r="AC44" s="33">
        <f>SUM(AC39:AC43)*Y44</f>
        <v>714643.65625</v>
      </c>
      <c r="AE44" s="17" t="s">
        <v>101</v>
      </c>
      <c r="AF44" s="17"/>
      <c r="AG44" s="28"/>
      <c r="AH44" s="44"/>
      <c r="AI44" s="45">
        <f>IF(AL43&lt;125000,0%,IF(AL43&lt;250000,1%,IF(AL43&lt;500000,3%,IF(AL43&lt;1000000,4%,IF(AL43&gt;1000000,5%)))))</f>
        <v>0.05</v>
      </c>
      <c r="AJ44" s="32"/>
      <c r="AK44" s="28"/>
      <c r="AL44" s="28"/>
      <c r="AM44" s="33">
        <f>SUM(AM39:AM43)*AI44</f>
        <v>727134.3776785715</v>
      </c>
    </row>
    <row r="45" spans="1:39" ht="11.1" customHeight="1">
      <c r="A45" s="25" t="s">
        <v>10</v>
      </c>
      <c r="B45" s="26"/>
      <c r="C45" s="26"/>
      <c r="D45" s="34"/>
      <c r="E45" s="26"/>
      <c r="F45" s="34"/>
      <c r="G45" s="26"/>
      <c r="H45" s="26"/>
      <c r="I45" s="40"/>
      <c r="K45" s="25" t="s">
        <v>10</v>
      </c>
      <c r="L45" s="26"/>
      <c r="M45" s="26"/>
      <c r="N45" s="34"/>
      <c r="O45" s="26"/>
      <c r="P45" s="34"/>
      <c r="Q45" s="26"/>
      <c r="R45" s="26"/>
      <c r="S45" s="40"/>
      <c r="U45" s="25" t="s">
        <v>10</v>
      </c>
      <c r="V45" s="26"/>
      <c r="W45" s="26"/>
      <c r="X45" s="34"/>
      <c r="Y45" s="26"/>
      <c r="Z45" s="34"/>
      <c r="AA45" s="26"/>
      <c r="AB45" s="26"/>
      <c r="AC45" s="40"/>
      <c r="AE45" s="25" t="s">
        <v>10</v>
      </c>
      <c r="AF45" s="26"/>
      <c r="AG45" s="26"/>
      <c r="AH45" s="34"/>
      <c r="AI45" s="26"/>
      <c r="AJ45" s="34"/>
      <c r="AK45" s="26"/>
      <c r="AL45" s="26"/>
      <c r="AM45" s="40"/>
    </row>
    <row r="46" spans="1:39" ht="11.1" customHeight="1">
      <c r="A46" s="29">
        <f>A15+A22+A27+A32</f>
        <v>0</v>
      </c>
      <c r="B46" s="30" t="s">
        <v>36</v>
      </c>
      <c r="C46" s="28"/>
      <c r="D46" s="32"/>
      <c r="E46" s="18">
        <f>Assumptions!$G$22</f>
        <v>1096</v>
      </c>
      <c r="F46" s="32" t="s">
        <v>6</v>
      </c>
      <c r="G46" s="46">
        <f>Assumptions!$D$22</f>
        <v>1.15</v>
      </c>
      <c r="H46" s="32" t="s">
        <v>11</v>
      </c>
      <c r="I46" s="33">
        <f>(A15*C15*E46*G46)+(A22*C22*E46*G46)</f>
        <v>0</v>
      </c>
      <c r="K46" s="29">
        <f>K15+K22+K27+K32</f>
        <v>0</v>
      </c>
      <c r="L46" s="30" t="s">
        <v>36</v>
      </c>
      <c r="M46" s="28"/>
      <c r="N46" s="32"/>
      <c r="O46" s="18">
        <f>Assumptions!$G$22</f>
        <v>1096</v>
      </c>
      <c r="P46" s="32" t="s">
        <v>6</v>
      </c>
      <c r="Q46" s="46">
        <f>Assumptions!$D$22</f>
        <v>1.15</v>
      </c>
      <c r="R46" s="32" t="s">
        <v>11</v>
      </c>
      <c r="S46" s="33">
        <f>(K15*M15*O46*Q46)+(K22*M22*O46*Q46)</f>
        <v>0</v>
      </c>
      <c r="U46" s="29">
        <f>U15+U22+U27+U32</f>
        <v>0</v>
      </c>
      <c r="V46" s="30" t="s">
        <v>36</v>
      </c>
      <c r="W46" s="28"/>
      <c r="X46" s="32"/>
      <c r="Y46" s="18">
        <f>Assumptions!$G$22</f>
        <v>1096</v>
      </c>
      <c r="Z46" s="32" t="s">
        <v>6</v>
      </c>
      <c r="AA46" s="46">
        <f>Assumptions!$D$22</f>
        <v>1.15</v>
      </c>
      <c r="AB46" s="32" t="s">
        <v>11</v>
      </c>
      <c r="AC46" s="33">
        <f>(U15*W15*Y46*AA46)+(U22*W22*Y46*AA46)</f>
        <v>0</v>
      </c>
      <c r="AE46" s="29">
        <f>AE15+AE22+AE27+AE32</f>
        <v>0</v>
      </c>
      <c r="AF46" s="30" t="s">
        <v>36</v>
      </c>
      <c r="AG46" s="28"/>
      <c r="AH46" s="32"/>
      <c r="AI46" s="18">
        <f>Assumptions!$G$22</f>
        <v>1096</v>
      </c>
      <c r="AJ46" s="32" t="s">
        <v>6</v>
      </c>
      <c r="AK46" s="46">
        <f>Assumptions!$D$22</f>
        <v>1.15</v>
      </c>
      <c r="AL46" s="32" t="s">
        <v>11</v>
      </c>
      <c r="AM46" s="33">
        <f>(AE15*AG15*AI46*AK46)+(AE22*AG22*AI46*AK46)</f>
        <v>0</v>
      </c>
    </row>
    <row r="47" spans="1:39" ht="11.1" customHeight="1">
      <c r="A47" s="29">
        <f>A16+A23+A28+A33</f>
        <v>295</v>
      </c>
      <c r="B47" s="30" t="s">
        <v>102</v>
      </c>
      <c r="C47" s="28"/>
      <c r="D47" s="32"/>
      <c r="E47" s="18">
        <f>Assumptions!$G$23</f>
        <v>899</v>
      </c>
      <c r="F47" s="32" t="s">
        <v>6</v>
      </c>
      <c r="G47" s="28"/>
      <c r="H47" s="28"/>
      <c r="I47" s="33">
        <f>(A16*C16*E47)+(A23*C23*E47)</f>
        <v>20393815</v>
      </c>
      <c r="K47" s="29">
        <f>K16+K23+K28+K33</f>
        <v>340</v>
      </c>
      <c r="L47" s="30" t="s">
        <v>102</v>
      </c>
      <c r="M47" s="28"/>
      <c r="N47" s="32"/>
      <c r="O47" s="18">
        <f>Assumptions!$G$23</f>
        <v>899</v>
      </c>
      <c r="P47" s="32" t="s">
        <v>6</v>
      </c>
      <c r="Q47" s="28"/>
      <c r="R47" s="28"/>
      <c r="S47" s="33">
        <f>(K16*M16*O47)+(K23*M23*O47)</f>
        <v>23931380</v>
      </c>
      <c r="U47" s="29">
        <f>U16+U23+U28+U33</f>
        <v>385</v>
      </c>
      <c r="V47" s="30" t="s">
        <v>102</v>
      </c>
      <c r="W47" s="28"/>
      <c r="X47" s="32"/>
      <c r="Y47" s="18">
        <f>Assumptions!$G$23</f>
        <v>899</v>
      </c>
      <c r="Z47" s="32" t="s">
        <v>6</v>
      </c>
      <c r="AA47" s="28"/>
      <c r="AB47" s="28"/>
      <c r="AC47" s="33">
        <f>(U16*W16*Y47)+(U23*W23*Y47)</f>
        <v>27468945</v>
      </c>
      <c r="AE47" s="29">
        <f>AE16+AE23+AE28+AE33</f>
        <v>430</v>
      </c>
      <c r="AF47" s="30" t="s">
        <v>102</v>
      </c>
      <c r="AG47" s="28"/>
      <c r="AH47" s="32"/>
      <c r="AI47" s="18">
        <f>Assumptions!$G$23</f>
        <v>899</v>
      </c>
      <c r="AJ47" s="32" t="s">
        <v>6</v>
      </c>
      <c r="AK47" s="28"/>
      <c r="AL47" s="28"/>
      <c r="AM47" s="33">
        <f>(AE16*AG16*AI47)+(AE23*AG23*AI47)</f>
        <v>31006510</v>
      </c>
    </row>
    <row r="48" spans="1:39" ht="11.1" customHeight="1">
      <c r="A48" s="29">
        <f>A17+A24+A29+A34</f>
        <v>390</v>
      </c>
      <c r="B48" s="30" t="s">
        <v>103</v>
      </c>
      <c r="C48" s="28"/>
      <c r="D48" s="32"/>
      <c r="E48" s="18">
        <f>Assumptions!$G$24</f>
        <v>899</v>
      </c>
      <c r="F48" s="32" t="s">
        <v>6</v>
      </c>
      <c r="G48" s="28"/>
      <c r="H48" s="28"/>
      <c r="I48" s="33">
        <f>(A17*C17*E48)+(A24*C24*E48)</f>
        <v>31015500</v>
      </c>
      <c r="K48" s="29">
        <f>K17+K24+K29+K34</f>
        <v>380</v>
      </c>
      <c r="L48" s="30" t="s">
        <v>103</v>
      </c>
      <c r="M48" s="28"/>
      <c r="N48" s="32"/>
      <c r="O48" s="18">
        <f>Assumptions!$G$24</f>
        <v>899</v>
      </c>
      <c r="P48" s="32" t="s">
        <v>6</v>
      </c>
      <c r="Q48" s="28"/>
      <c r="R48" s="28"/>
      <c r="S48" s="33">
        <f>(K17*M17*O48)+(K24*M24*O48)</f>
        <v>30386200</v>
      </c>
      <c r="U48" s="29">
        <f>U17+U24+U29+U34</f>
        <v>370</v>
      </c>
      <c r="V48" s="30" t="s">
        <v>103</v>
      </c>
      <c r="W48" s="28"/>
      <c r="X48" s="32"/>
      <c r="Y48" s="18">
        <f>Assumptions!$G$24</f>
        <v>899</v>
      </c>
      <c r="Z48" s="32" t="s">
        <v>6</v>
      </c>
      <c r="AA48" s="28"/>
      <c r="AB48" s="28"/>
      <c r="AC48" s="33">
        <f>(U17*W17*Y48)+(U24*W24*Y48)</f>
        <v>29756900</v>
      </c>
      <c r="AE48" s="29">
        <f>AE17+AE24+AE29+AE34</f>
        <v>360</v>
      </c>
      <c r="AF48" s="30" t="s">
        <v>103</v>
      </c>
      <c r="AG48" s="28"/>
      <c r="AH48" s="32"/>
      <c r="AI48" s="18">
        <f>Assumptions!$G$24</f>
        <v>899</v>
      </c>
      <c r="AJ48" s="32" t="s">
        <v>6</v>
      </c>
      <c r="AK48" s="28"/>
      <c r="AL48" s="28"/>
      <c r="AM48" s="33">
        <f>(AE17*AG17*AI48)+(AE24*AG24*AI48)</f>
        <v>29127600</v>
      </c>
    </row>
    <row r="49" spans="1:39" ht="11.1" customHeight="1">
      <c r="A49" s="29">
        <f>A18</f>
        <v>225</v>
      </c>
      <c r="B49" s="30" t="s">
        <v>104</v>
      </c>
      <c r="C49" s="28"/>
      <c r="D49" s="32"/>
      <c r="E49" s="18">
        <f>Assumptions!$G$25</f>
        <v>899</v>
      </c>
      <c r="F49" s="32" t="s">
        <v>6</v>
      </c>
      <c r="G49" s="28"/>
      <c r="H49" s="28"/>
      <c r="I49" s="33">
        <f>(A18*C18*E49)</f>
        <v>24273000</v>
      </c>
      <c r="K49" s="29">
        <f>K18</f>
        <v>200</v>
      </c>
      <c r="L49" s="30" t="s">
        <v>104</v>
      </c>
      <c r="M49" s="28"/>
      <c r="N49" s="32"/>
      <c r="O49" s="18">
        <f>Assumptions!$G$25</f>
        <v>899</v>
      </c>
      <c r="P49" s="32" t="s">
        <v>6</v>
      </c>
      <c r="Q49" s="28"/>
      <c r="R49" s="28"/>
      <c r="S49" s="33">
        <f>(K18*M18*O49)</f>
        <v>21576000</v>
      </c>
      <c r="U49" s="29">
        <f>U18</f>
        <v>175</v>
      </c>
      <c r="V49" s="30" t="s">
        <v>104</v>
      </c>
      <c r="W49" s="28"/>
      <c r="X49" s="32"/>
      <c r="Y49" s="18">
        <f>Assumptions!$G$25</f>
        <v>899</v>
      </c>
      <c r="Z49" s="32" t="s">
        <v>6</v>
      </c>
      <c r="AA49" s="28"/>
      <c r="AB49" s="28"/>
      <c r="AC49" s="33">
        <f>(U18*W18*Y49)</f>
        <v>18879000</v>
      </c>
      <c r="AE49" s="29">
        <f>AE18</f>
        <v>150</v>
      </c>
      <c r="AF49" s="30" t="s">
        <v>104</v>
      </c>
      <c r="AG49" s="28"/>
      <c r="AH49" s="32"/>
      <c r="AI49" s="18">
        <f>Assumptions!$G$25</f>
        <v>899</v>
      </c>
      <c r="AJ49" s="32" t="s">
        <v>6</v>
      </c>
      <c r="AK49" s="28"/>
      <c r="AL49" s="28"/>
      <c r="AM49" s="33">
        <f>(AE18*AG18*AI49)</f>
        <v>16182000</v>
      </c>
    </row>
    <row r="50" spans="1:39" ht="11.1" customHeight="1">
      <c r="A50" s="29">
        <f>A19</f>
        <v>90</v>
      </c>
      <c r="B50" s="30" t="s">
        <v>105</v>
      </c>
      <c r="C50" s="28"/>
      <c r="D50" s="32"/>
      <c r="E50" s="18">
        <f>Assumptions!$G$26</f>
        <v>899</v>
      </c>
      <c r="F50" s="32" t="s">
        <v>6</v>
      </c>
      <c r="G50" s="28"/>
      <c r="H50" s="28"/>
      <c r="I50" s="33">
        <f>(A19*C19*E50)</f>
        <v>12136500</v>
      </c>
      <c r="K50" s="29">
        <f>K19</f>
        <v>80</v>
      </c>
      <c r="L50" s="30" t="s">
        <v>105</v>
      </c>
      <c r="M50" s="28"/>
      <c r="N50" s="32"/>
      <c r="O50" s="18">
        <f>Assumptions!$G$26</f>
        <v>899</v>
      </c>
      <c r="P50" s="32" t="s">
        <v>6</v>
      </c>
      <c r="Q50" s="28"/>
      <c r="R50" s="28"/>
      <c r="S50" s="33">
        <f>(K19*M19*O50)</f>
        <v>10788000</v>
      </c>
      <c r="U50" s="29">
        <f>U19</f>
        <v>70</v>
      </c>
      <c r="V50" s="30" t="s">
        <v>105</v>
      </c>
      <c r="W50" s="28"/>
      <c r="X50" s="32"/>
      <c r="Y50" s="18">
        <f>Assumptions!$G$26</f>
        <v>899</v>
      </c>
      <c r="Z50" s="32" t="s">
        <v>6</v>
      </c>
      <c r="AA50" s="28"/>
      <c r="AB50" s="28"/>
      <c r="AC50" s="33">
        <f>(U19*W19*Y50)</f>
        <v>9439500</v>
      </c>
      <c r="AE50" s="29">
        <f>AE19</f>
        <v>60</v>
      </c>
      <c r="AF50" s="30" t="s">
        <v>105</v>
      </c>
      <c r="AG50" s="28"/>
      <c r="AH50" s="32"/>
      <c r="AI50" s="18">
        <f>Assumptions!$G$26</f>
        <v>899</v>
      </c>
      <c r="AJ50" s="32" t="s">
        <v>6</v>
      </c>
      <c r="AK50" s="28"/>
      <c r="AL50" s="28"/>
      <c r="AM50" s="33">
        <f>(AE19*AG19*AI50)</f>
        <v>8091000</v>
      </c>
    </row>
    <row r="51" spans="1:39" ht="11.1" customHeight="1">
      <c r="A51" s="38">
        <f>SUM(A46:A50)</f>
        <v>1000</v>
      </c>
      <c r="B51" s="26"/>
      <c r="C51" s="47">
        <f>SUM(A46*C46*G46)+(A47*C47)+(A48*C48)+(A49*C49)+(A50*C50)</f>
        <v>0</v>
      </c>
      <c r="D51" s="34" t="s">
        <v>106</v>
      </c>
      <c r="E51" s="26"/>
      <c r="F51" s="34"/>
      <c r="G51" s="26"/>
      <c r="H51" s="26"/>
      <c r="I51" s="40"/>
      <c r="K51" s="38">
        <f>SUM(K46:K50)</f>
        <v>1000</v>
      </c>
      <c r="L51" s="26"/>
      <c r="M51" s="47">
        <f>SUM(K46*M46*Q46)+(K47*M47)+(K48*M48)+(K49*M49)+(K50*M50)</f>
        <v>0</v>
      </c>
      <c r="N51" s="34" t="s">
        <v>106</v>
      </c>
      <c r="O51" s="26"/>
      <c r="P51" s="34"/>
      <c r="Q51" s="26"/>
      <c r="R51" s="26"/>
      <c r="S51" s="40"/>
      <c r="U51" s="38">
        <f>SUM(U46:U50)</f>
        <v>1000</v>
      </c>
      <c r="V51" s="26"/>
      <c r="W51" s="47">
        <f>SUM(U46*W46*AA46)+(U47*W47)+(U48*W48)+(U49*W49)+(U50*W50)</f>
        <v>0</v>
      </c>
      <c r="X51" s="34" t="s">
        <v>106</v>
      </c>
      <c r="Y51" s="26"/>
      <c r="Z51" s="34"/>
      <c r="AA51" s="26"/>
      <c r="AB51" s="26"/>
      <c r="AC51" s="40"/>
      <c r="AE51" s="38">
        <f>SUM(AE46:AE50)</f>
        <v>1000</v>
      </c>
      <c r="AF51" s="26"/>
      <c r="AG51" s="47">
        <f>SUM(AE46*AG46*AK46)+(AE47*AG47)+(AE48*AG48)+(AE49*AG49)+(AE50*AG50)</f>
        <v>0</v>
      </c>
      <c r="AH51" s="34" t="s">
        <v>106</v>
      </c>
      <c r="AI51" s="26"/>
      <c r="AJ51" s="34"/>
      <c r="AK51" s="26"/>
      <c r="AL51" s="26"/>
      <c r="AM51" s="40"/>
    </row>
    <row r="52" spans="1:39" ht="11.1" customHeight="1">
      <c r="A52" s="17" t="s">
        <v>137</v>
      </c>
      <c r="B52" s="4"/>
      <c r="E52" s="71">
        <f>IF(E40&lt;25000,0,IF(E40&gt;25000,(E40*Assumptions!$D$211)))</f>
        <v>0</v>
      </c>
      <c r="F52" s="48" t="s">
        <v>138</v>
      </c>
      <c r="I52" s="33">
        <f>D10*E52</f>
        <v>0</v>
      </c>
      <c r="K52" s="17" t="s">
        <v>137</v>
      </c>
      <c r="L52" s="4"/>
      <c r="O52" s="71">
        <f>IF(O40&lt;25000,0,IF(O40&gt;25000,(O40*Assumptions!$D$211)))</f>
        <v>0</v>
      </c>
      <c r="P52" s="48" t="s">
        <v>138</v>
      </c>
      <c r="S52" s="33">
        <f>N10*O52</f>
        <v>0</v>
      </c>
      <c r="U52" s="17" t="s">
        <v>137</v>
      </c>
      <c r="V52" s="4"/>
      <c r="Y52" s="71">
        <f>IF(Y40&lt;25000,0,IF(Y40&gt;25000,(Y40*Assumptions!$D$211)))</f>
        <v>0</v>
      </c>
      <c r="Z52" s="48" t="s">
        <v>138</v>
      </c>
      <c r="AC52" s="33">
        <f>X10*Y52</f>
        <v>0</v>
      </c>
      <c r="AE52" s="17" t="s">
        <v>137</v>
      </c>
      <c r="AF52" s="4"/>
      <c r="AI52" s="71">
        <f>IF(AI40&lt;25000,0,IF(AI40&gt;25000,(AI40*Assumptions!$D$211)))</f>
        <v>0</v>
      </c>
      <c r="AJ52" s="48" t="s">
        <v>138</v>
      </c>
      <c r="AM52" s="33">
        <f>AH10*AI52</f>
        <v>0</v>
      </c>
    </row>
    <row r="53" spans="1:39" ht="11.1" customHeight="1">
      <c r="A53" s="17" t="s">
        <v>119</v>
      </c>
      <c r="B53" s="17"/>
      <c r="C53" s="49"/>
      <c r="D53" s="28"/>
      <c r="E53" s="73">
        <f>Assumptions!$E$44</f>
        <v>0.08</v>
      </c>
      <c r="F53" s="32" t="s">
        <v>14</v>
      </c>
      <c r="G53" s="28"/>
      <c r="H53" s="28"/>
      <c r="I53" s="33">
        <f>SUM(I46:I50)*E53</f>
        <v>7025505.2</v>
      </c>
      <c r="K53" s="17" t="s">
        <v>119</v>
      </c>
      <c r="L53" s="17"/>
      <c r="M53" s="49"/>
      <c r="N53" s="28"/>
      <c r="O53" s="73">
        <f>Assumptions!$E$44</f>
        <v>0.08</v>
      </c>
      <c r="P53" s="32" t="s">
        <v>14</v>
      </c>
      <c r="Q53" s="28"/>
      <c r="R53" s="28"/>
      <c r="S53" s="33">
        <f>SUM(S46:S50)*O53</f>
        <v>6934526.4</v>
      </c>
      <c r="U53" s="17" t="s">
        <v>119</v>
      </c>
      <c r="V53" s="17"/>
      <c r="W53" s="49"/>
      <c r="X53" s="28"/>
      <c r="Y53" s="73">
        <f>Assumptions!$E$44</f>
        <v>0.08</v>
      </c>
      <c r="Z53" s="32" t="s">
        <v>14</v>
      </c>
      <c r="AA53" s="28"/>
      <c r="AB53" s="28"/>
      <c r="AC53" s="33">
        <f>SUM(AC46:AC50)*Y53</f>
        <v>6843547.6000000006</v>
      </c>
      <c r="AE53" s="17" t="s">
        <v>119</v>
      </c>
      <c r="AF53" s="17"/>
      <c r="AG53" s="49"/>
      <c r="AH53" s="28"/>
      <c r="AI53" s="73">
        <f>Assumptions!$E$44</f>
        <v>0.08</v>
      </c>
      <c r="AJ53" s="32" t="s">
        <v>14</v>
      </c>
      <c r="AK53" s="28"/>
      <c r="AL53" s="28"/>
      <c r="AM53" s="33">
        <f>SUM(AM46:AM50)*AI53</f>
        <v>6752568.8</v>
      </c>
    </row>
    <row r="54" spans="1:39" ht="11.1" customHeight="1">
      <c r="A54" s="17" t="s">
        <v>15</v>
      </c>
      <c r="B54" s="17"/>
      <c r="C54" s="49"/>
      <c r="D54" s="28"/>
      <c r="E54" s="73">
        <f>Assumptions!$E$45</f>
        <v>0.005</v>
      </c>
      <c r="F54" s="32" t="s">
        <v>16</v>
      </c>
      <c r="G54" s="28"/>
      <c r="H54" s="28"/>
      <c r="I54" s="33">
        <f>I36*E54</f>
        <v>906126.6</v>
      </c>
      <c r="K54" s="17" t="s">
        <v>15</v>
      </c>
      <c r="L54" s="17"/>
      <c r="M54" s="49"/>
      <c r="N54" s="28"/>
      <c r="O54" s="73">
        <f>Assumptions!$E$45</f>
        <v>0.005</v>
      </c>
      <c r="P54" s="32" t="s">
        <v>16</v>
      </c>
      <c r="Q54" s="28"/>
      <c r="R54" s="28"/>
      <c r="S54" s="33">
        <f>S36*O54</f>
        <v>848094.8</v>
      </c>
      <c r="U54" s="17" t="s">
        <v>15</v>
      </c>
      <c r="V54" s="17"/>
      <c r="W54" s="49"/>
      <c r="X54" s="28"/>
      <c r="Y54" s="73">
        <f>Assumptions!$E$45</f>
        <v>0.005</v>
      </c>
      <c r="Z54" s="32" t="s">
        <v>16</v>
      </c>
      <c r="AA54" s="28"/>
      <c r="AB54" s="28"/>
      <c r="AC54" s="33">
        <f>AC36*Y54</f>
        <v>794035.35</v>
      </c>
      <c r="AE54" s="17" t="s">
        <v>15</v>
      </c>
      <c r="AF54" s="17"/>
      <c r="AG54" s="49"/>
      <c r="AH54" s="28"/>
      <c r="AI54" s="73">
        <f>Assumptions!$E$45</f>
        <v>0.005</v>
      </c>
      <c r="AJ54" s="32" t="s">
        <v>16</v>
      </c>
      <c r="AK54" s="28"/>
      <c r="AL54" s="28"/>
      <c r="AM54" s="33">
        <f>AM36*AI54</f>
        <v>787822.3</v>
      </c>
    </row>
    <row r="55" spans="1:39" ht="11.1" customHeight="1">
      <c r="A55" s="17" t="s">
        <v>17</v>
      </c>
      <c r="B55" s="17"/>
      <c r="C55" s="49"/>
      <c r="D55" s="28"/>
      <c r="E55" s="73">
        <f>Assumptions!$E$46</f>
        <v>0.011</v>
      </c>
      <c r="F55" s="32" t="s">
        <v>14</v>
      </c>
      <c r="G55" s="28"/>
      <c r="H55" s="28"/>
      <c r="I55" s="33">
        <f>SUM(I46:I50)*E55</f>
        <v>966006.965</v>
      </c>
      <c r="K55" s="17" t="s">
        <v>17</v>
      </c>
      <c r="L55" s="17"/>
      <c r="M55" s="49"/>
      <c r="N55" s="28"/>
      <c r="O55" s="73">
        <f>Assumptions!$E$46</f>
        <v>0.011</v>
      </c>
      <c r="P55" s="32" t="s">
        <v>14</v>
      </c>
      <c r="Q55" s="28"/>
      <c r="R55" s="28"/>
      <c r="S55" s="33">
        <f>SUM(S46:S50)*O55</f>
        <v>953497.37999999989</v>
      </c>
      <c r="U55" s="17" t="s">
        <v>17</v>
      </c>
      <c r="V55" s="17"/>
      <c r="W55" s="49"/>
      <c r="X55" s="28"/>
      <c r="Y55" s="73">
        <f>Assumptions!$E$46</f>
        <v>0.011</v>
      </c>
      <c r="Z55" s="32" t="s">
        <v>14</v>
      </c>
      <c r="AA55" s="28"/>
      <c r="AB55" s="28"/>
      <c r="AC55" s="33">
        <f>SUM(AC46:AC50)*Y55</f>
        <v>940987.79499999993</v>
      </c>
      <c r="AE55" s="17" t="s">
        <v>17</v>
      </c>
      <c r="AF55" s="17"/>
      <c r="AG55" s="49"/>
      <c r="AH55" s="28"/>
      <c r="AI55" s="73">
        <f>Assumptions!$E$46</f>
        <v>0.011</v>
      </c>
      <c r="AJ55" s="32" t="s">
        <v>14</v>
      </c>
      <c r="AK55" s="28"/>
      <c r="AL55" s="28"/>
      <c r="AM55" s="33">
        <f>SUM(AM46:AM50)*AI55</f>
        <v>928478.21</v>
      </c>
    </row>
    <row r="56" spans="1:39" ht="11.1" customHeight="1">
      <c r="A56" s="17" t="s">
        <v>18</v>
      </c>
      <c r="B56" s="17"/>
      <c r="C56" s="49"/>
      <c r="D56" s="28"/>
      <c r="E56" s="73">
        <f>Assumptions!$E$47</f>
        <v>0.02</v>
      </c>
      <c r="F56" s="32" t="s">
        <v>50</v>
      </c>
      <c r="G56" s="28"/>
      <c r="H56" s="28"/>
      <c r="I56" s="33">
        <f>SUM(I15:I19)*E56</f>
        <v>3473145</v>
      </c>
      <c r="K56" s="17" t="s">
        <v>18</v>
      </c>
      <c r="L56" s="17"/>
      <c r="M56" s="49"/>
      <c r="N56" s="28"/>
      <c r="O56" s="73">
        <f>Assumptions!$E$47</f>
        <v>0.02</v>
      </c>
      <c r="P56" s="32" t="s">
        <v>50</v>
      </c>
      <c r="Q56" s="28"/>
      <c r="R56" s="28"/>
      <c r="S56" s="33">
        <f>SUM(S15:S19)*O56</f>
        <v>3087240</v>
      </c>
      <c r="U56" s="17" t="s">
        <v>18</v>
      </c>
      <c r="V56" s="17"/>
      <c r="W56" s="49"/>
      <c r="X56" s="28"/>
      <c r="Y56" s="73">
        <f>Assumptions!$E$47</f>
        <v>0.02</v>
      </c>
      <c r="Z56" s="32" t="s">
        <v>50</v>
      </c>
      <c r="AA56" s="28"/>
      <c r="AB56" s="28"/>
      <c r="AC56" s="33">
        <f>SUM(AC15:AC19)*Y56</f>
        <v>2701335</v>
      </c>
      <c r="AE56" s="17" t="s">
        <v>18</v>
      </c>
      <c r="AF56" s="17"/>
      <c r="AG56" s="49"/>
      <c r="AH56" s="28"/>
      <c r="AI56" s="73">
        <f>Assumptions!$E$47</f>
        <v>0.02</v>
      </c>
      <c r="AJ56" s="32" t="s">
        <v>50</v>
      </c>
      <c r="AK56" s="28"/>
      <c r="AL56" s="28"/>
      <c r="AM56" s="33">
        <f>SUM(AM15:AM19)*AI56</f>
        <v>2434170</v>
      </c>
    </row>
    <row r="57" spans="1:39" ht="11.1" customHeight="1">
      <c r="A57" s="17" t="s">
        <v>19</v>
      </c>
      <c r="B57" s="17"/>
      <c r="C57" s="50"/>
      <c r="D57" s="28"/>
      <c r="E57" s="73">
        <f>Assumptions!$E$48</f>
        <v>0.05</v>
      </c>
      <c r="F57" s="32" t="s">
        <v>14</v>
      </c>
      <c r="G57" s="28"/>
      <c r="H57" s="28"/>
      <c r="I57" s="33">
        <f>SUM(I46:I52)*E57</f>
        <v>4390940.75</v>
      </c>
      <c r="K57" s="17" t="s">
        <v>19</v>
      </c>
      <c r="L57" s="17"/>
      <c r="M57" s="50"/>
      <c r="N57" s="28"/>
      <c r="O57" s="73">
        <f>Assumptions!$E$48</f>
        <v>0.05</v>
      </c>
      <c r="P57" s="32" t="s">
        <v>14</v>
      </c>
      <c r="Q57" s="28"/>
      <c r="R57" s="28"/>
      <c r="S57" s="33">
        <f>SUM(S46:S52)*O57</f>
        <v>4334079</v>
      </c>
      <c r="U57" s="17" t="s">
        <v>19</v>
      </c>
      <c r="V57" s="17"/>
      <c r="W57" s="50"/>
      <c r="X57" s="28"/>
      <c r="Y57" s="73">
        <f>Assumptions!$E$48</f>
        <v>0.05</v>
      </c>
      <c r="Z57" s="32" t="s">
        <v>14</v>
      </c>
      <c r="AA57" s="28"/>
      <c r="AB57" s="28"/>
      <c r="AC57" s="33">
        <f>SUM(AC46:AC52)*Y57</f>
        <v>4277217.25</v>
      </c>
      <c r="AE57" s="17" t="s">
        <v>19</v>
      </c>
      <c r="AF57" s="17"/>
      <c r="AG57" s="50"/>
      <c r="AH57" s="28"/>
      <c r="AI57" s="73">
        <f>Assumptions!$E$48</f>
        <v>0.05</v>
      </c>
      <c r="AJ57" s="32" t="s">
        <v>14</v>
      </c>
      <c r="AK57" s="28"/>
      <c r="AL57" s="28"/>
      <c r="AM57" s="33">
        <f>SUM(AM46:AM52)*AI57</f>
        <v>4220355.5</v>
      </c>
    </row>
    <row r="58" spans="1:39" ht="11.1" customHeight="1">
      <c r="A58" s="17" t="s">
        <v>20</v>
      </c>
      <c r="B58" s="4"/>
      <c r="C58" s="13"/>
      <c r="E58" s="74">
        <f>Assumptions!$E$49</f>
        <v>4000</v>
      </c>
      <c r="F58" s="32" t="s">
        <v>51</v>
      </c>
      <c r="I58" s="36">
        <f>A35*E58</f>
        <v>4000000</v>
      </c>
      <c r="K58" s="17" t="s">
        <v>20</v>
      </c>
      <c r="L58" s="4"/>
      <c r="M58" s="13"/>
      <c r="O58" s="74">
        <f>Assumptions!$E$49</f>
        <v>4000</v>
      </c>
      <c r="P58" s="32" t="s">
        <v>51</v>
      </c>
      <c r="S58" s="36">
        <f>K35*O58</f>
        <v>4000000</v>
      </c>
      <c r="U58" s="17" t="s">
        <v>20</v>
      </c>
      <c r="V58" s="4"/>
      <c r="W58" s="13"/>
      <c r="Y58" s="74">
        <f>Assumptions!$E$49</f>
        <v>4000</v>
      </c>
      <c r="Z58" s="32" t="s">
        <v>51</v>
      </c>
      <c r="AC58" s="36">
        <f>U35*Y58</f>
        <v>4000000</v>
      </c>
      <c r="AE58" s="17" t="s">
        <v>20</v>
      </c>
      <c r="AF58" s="4"/>
      <c r="AG58" s="13"/>
      <c r="AI58" s="74">
        <f>Assumptions!$E$49</f>
        <v>4000</v>
      </c>
      <c r="AJ58" s="32" t="s">
        <v>51</v>
      </c>
      <c r="AM58" s="36">
        <f>AE35*AI58</f>
        <v>4000000</v>
      </c>
    </row>
    <row r="59" spans="1:39" ht="11.1" customHeight="1">
      <c r="A59" s="17" t="s">
        <v>121</v>
      </c>
      <c r="B59" s="17"/>
      <c r="C59" s="45">
        <f>Assumptions!$C$50</f>
        <v>0.05</v>
      </c>
      <c r="D59" s="72">
        <f>Assumptions!$D$50</f>
        <v>12</v>
      </c>
      <c r="E59" s="32" t="s">
        <v>22</v>
      </c>
      <c r="F59" s="28"/>
      <c r="G59" s="71">
        <f>Assumptions!$G$50</f>
        <v>6</v>
      </c>
      <c r="H59" s="32" t="s">
        <v>110</v>
      </c>
      <c r="I59" s="33">
        <f>(((SUM(I39:I44)*POWER((1+C59/12),((D59+G59)/12)*12))-SUM(I39:I44))      +           ((((SUM(I46:I58)*POWER((1+C59/12),((D59+G59)/12)*12))-SUM(I46:I58))*0.5)))</f>
        <v>5734325.4784455448</v>
      </c>
      <c r="K59" s="17" t="s">
        <v>121</v>
      </c>
      <c r="L59" s="17"/>
      <c r="M59" s="45">
        <f>Assumptions!$C$50</f>
        <v>0.05</v>
      </c>
      <c r="N59" s="72">
        <f>Assumptions!$D$50</f>
        <v>12</v>
      </c>
      <c r="O59" s="32" t="s">
        <v>22</v>
      </c>
      <c r="P59" s="28"/>
      <c r="Q59" s="71">
        <f>Assumptions!$G$50</f>
        <v>6</v>
      </c>
      <c r="R59" s="32" t="s">
        <v>110</v>
      </c>
      <c r="S59" s="33">
        <f>(((SUM(S39:S44)*POWER((1+M59/12),((N59+Q59)/12)*12))-SUM(S39:S44))      +           ((((SUM(S46:S58)*POWER((1+M59/12),((N59+Q59)/12)*12))-SUM(S46:S58))*0.5)))</f>
        <v>5484507.3450472094</v>
      </c>
      <c r="U59" s="17" t="s">
        <v>121</v>
      </c>
      <c r="V59" s="17"/>
      <c r="W59" s="45">
        <f>Assumptions!$C$50</f>
        <v>0.05</v>
      </c>
      <c r="X59" s="72">
        <f>Assumptions!$D$50</f>
        <v>12</v>
      </c>
      <c r="Y59" s="32" t="s">
        <v>22</v>
      </c>
      <c r="Z59" s="28"/>
      <c r="AA59" s="71">
        <f>Assumptions!$G$50</f>
        <v>6</v>
      </c>
      <c r="AB59" s="32" t="s">
        <v>110</v>
      </c>
      <c r="AC59" s="33">
        <f>(((SUM(AC39:AC44)*POWER((1+W59/12),((X59+AA59)/12)*12))-SUM(AC39:AC44))      +           ((((SUM(AC46:AC58)*POWER((1+W59/12),((X59+AA59)/12)*12))-SUM(AC46:AC58))*0.5)))</f>
        <v>5250371.2685909383</v>
      </c>
      <c r="AE59" s="17" t="s">
        <v>121</v>
      </c>
      <c r="AF59" s="17"/>
      <c r="AG59" s="45">
        <f>Assumptions!$C$50</f>
        <v>0.05</v>
      </c>
      <c r="AH59" s="72">
        <f>Assumptions!$D$50</f>
        <v>12</v>
      </c>
      <c r="AI59" s="32" t="s">
        <v>22</v>
      </c>
      <c r="AJ59" s="28"/>
      <c r="AK59" s="71">
        <f>Assumptions!$G$50</f>
        <v>6</v>
      </c>
      <c r="AL59" s="32" t="s">
        <v>110</v>
      </c>
      <c r="AM59" s="33">
        <f>(((SUM(AM39:AM44)*POWER((1+AG59/12),((AH59+AK59)/12)*12))-SUM(AM39:AM44))      +           ((((SUM(AM46:AM58)*POWER((1+AG59/12),((AH59+AK59)/12)*12))-SUM(AM46:AM58))*0.5)))</f>
        <v>5209711.9778241944</v>
      </c>
    </row>
    <row r="60" spans="1:39" ht="11.1" customHeight="1">
      <c r="A60" s="17" t="s">
        <v>23</v>
      </c>
      <c r="B60" s="17"/>
      <c r="C60" s="45">
        <f>Assumptions!$C$51</f>
        <v>0</v>
      </c>
      <c r="D60" s="32" t="s">
        <v>24</v>
      </c>
      <c r="E60" s="28"/>
      <c r="F60" s="28"/>
      <c r="G60" s="28"/>
      <c r="H60" s="28"/>
      <c r="I60" s="33">
        <f>SUM(I39:I57)*C60</f>
        <v>0</v>
      </c>
      <c r="K60" s="17" t="s">
        <v>23</v>
      </c>
      <c r="L60" s="17"/>
      <c r="M60" s="45">
        <f>Assumptions!$C$51</f>
        <v>0</v>
      </c>
      <c r="N60" s="32" t="s">
        <v>24</v>
      </c>
      <c r="O60" s="28"/>
      <c r="P60" s="28"/>
      <c r="Q60" s="28"/>
      <c r="R60" s="28"/>
      <c r="S60" s="33">
        <f>SUM(S39:S57)*M60</f>
        <v>0</v>
      </c>
      <c r="U60" s="17" t="s">
        <v>23</v>
      </c>
      <c r="V60" s="17"/>
      <c r="W60" s="45">
        <f>Assumptions!$C$51</f>
        <v>0</v>
      </c>
      <c r="X60" s="32" t="s">
        <v>24</v>
      </c>
      <c r="Y60" s="28"/>
      <c r="Z60" s="28"/>
      <c r="AA60" s="28"/>
      <c r="AB60" s="28"/>
      <c r="AC60" s="33">
        <f>SUM(AC39:AC57)*W60</f>
        <v>0</v>
      </c>
      <c r="AE60" s="17" t="s">
        <v>23</v>
      </c>
      <c r="AF60" s="17"/>
      <c r="AG60" s="45">
        <f>Assumptions!$C$51</f>
        <v>0</v>
      </c>
      <c r="AH60" s="32" t="s">
        <v>24</v>
      </c>
      <c r="AI60" s="28"/>
      <c r="AJ60" s="28"/>
      <c r="AK60" s="28"/>
      <c r="AL60" s="28"/>
      <c r="AM60" s="33">
        <f>SUM(AM39:AM57)*AG60</f>
        <v>0</v>
      </c>
    </row>
    <row r="61" spans="1:39" ht="11.1" customHeight="1">
      <c r="A61" s="17" t="s">
        <v>25</v>
      </c>
      <c r="B61" s="17"/>
      <c r="C61" s="155" t="s">
        <v>155</v>
      </c>
      <c r="D61" s="45">
        <f>Assumptions!$D$52</f>
        <v>0.2</v>
      </c>
      <c r="E61" s="32" t="s">
        <v>26</v>
      </c>
      <c r="F61" s="155" t="s">
        <v>156</v>
      </c>
      <c r="G61" s="45">
        <f>Assumptions!$G$52</f>
        <v>0.06</v>
      </c>
      <c r="H61" s="32" t="s">
        <v>26</v>
      </c>
      <c r="I61" s="33">
        <f>SUM(I15:I19)*D61+SUM(I22:I34)*G61</f>
        <v>35185534.2</v>
      </c>
      <c r="K61" s="17" t="s">
        <v>25</v>
      </c>
      <c r="L61" s="17"/>
      <c r="M61" s="155" t="s">
        <v>155</v>
      </c>
      <c r="N61" s="45">
        <f>Assumptions!$D$52</f>
        <v>0.2</v>
      </c>
      <c r="O61" s="32" t="s">
        <v>26</v>
      </c>
      <c r="P61" s="155" t="s">
        <v>156</v>
      </c>
      <c r="Q61" s="45">
        <f>Assumptions!$G$52</f>
        <v>0.06</v>
      </c>
      <c r="R61" s="32" t="s">
        <v>26</v>
      </c>
      <c r="S61" s="33">
        <f>SUM(S15:S19)*N61+SUM(S22:S34)*Q61</f>
        <v>31787817.6</v>
      </c>
      <c r="U61" s="17" t="s">
        <v>25</v>
      </c>
      <c r="V61" s="17"/>
      <c r="W61" s="155" t="s">
        <v>155</v>
      </c>
      <c r="X61" s="45">
        <f>Assumptions!$D$52</f>
        <v>0.2</v>
      </c>
      <c r="Y61" s="32" t="s">
        <v>26</v>
      </c>
      <c r="Z61" s="155" t="s">
        <v>156</v>
      </c>
      <c r="AA61" s="45">
        <f>Assumptions!$G$52</f>
        <v>0.06</v>
      </c>
      <c r="AB61" s="32" t="s">
        <v>26</v>
      </c>
      <c r="AC61" s="33">
        <f>SUM(AC15:AC19)*X61+SUM(AC22:AC34)*AA61</f>
        <v>28437769.2</v>
      </c>
      <c r="AE61" s="17" t="s">
        <v>25</v>
      </c>
      <c r="AF61" s="17"/>
      <c r="AG61" s="155" t="s">
        <v>155</v>
      </c>
      <c r="AH61" s="45">
        <f>Assumptions!$D$52</f>
        <v>0.2</v>
      </c>
      <c r="AI61" s="32" t="s">
        <v>26</v>
      </c>
      <c r="AJ61" s="155" t="s">
        <v>156</v>
      </c>
      <c r="AK61" s="45">
        <f>Assumptions!$G$52</f>
        <v>0.06</v>
      </c>
      <c r="AL61" s="32" t="s">
        <v>26</v>
      </c>
      <c r="AM61" s="33">
        <f>SUM(AM15:AM19)*AH61+SUM(AM22:AM34)*AK61</f>
        <v>26493057.6</v>
      </c>
    </row>
    <row r="62" spans="1:39" ht="11.1" customHeight="1">
      <c r="A62" s="26"/>
      <c r="B62" s="26"/>
      <c r="C62" s="26"/>
      <c r="D62" s="26"/>
      <c r="E62" s="26"/>
      <c r="F62" s="26"/>
      <c r="G62" s="26"/>
      <c r="H62" s="26"/>
      <c r="I62" s="40"/>
      <c r="K62" s="26"/>
      <c r="L62" s="26"/>
      <c r="M62" s="26"/>
      <c r="N62" s="26"/>
      <c r="O62" s="26"/>
      <c r="P62" s="26"/>
      <c r="Q62" s="26"/>
      <c r="R62" s="26"/>
      <c r="S62" s="40"/>
      <c r="U62" s="26"/>
      <c r="V62" s="26"/>
      <c r="W62" s="26"/>
      <c r="X62" s="26"/>
      <c r="Y62" s="26"/>
      <c r="Z62" s="26"/>
      <c r="AA62" s="26"/>
      <c r="AB62" s="26"/>
      <c r="AC62" s="40"/>
      <c r="AE62" s="26"/>
      <c r="AF62" s="26"/>
      <c r="AG62" s="26"/>
      <c r="AH62" s="26"/>
      <c r="AI62" s="26"/>
      <c r="AJ62" s="26"/>
      <c r="AK62" s="26"/>
      <c r="AL62" s="26"/>
      <c r="AM62" s="40"/>
    </row>
    <row r="63" spans="1:39" ht="11.1" customHeight="1">
      <c r="A63" s="25" t="s">
        <v>27</v>
      </c>
      <c r="B63" s="26"/>
      <c r="C63" s="26"/>
      <c r="D63" s="26"/>
      <c r="E63" s="26"/>
      <c r="F63" s="26"/>
      <c r="G63" s="26"/>
      <c r="H63" s="26"/>
      <c r="I63" s="42">
        <f>SUM(I39:I62)</f>
        <v>168995577.91219556</v>
      </c>
      <c r="K63" s="25" t="s">
        <v>27</v>
      </c>
      <c r="L63" s="26"/>
      <c r="M63" s="26"/>
      <c r="N63" s="26"/>
      <c r="O63" s="26"/>
      <c r="P63" s="26"/>
      <c r="Q63" s="26"/>
      <c r="R63" s="26"/>
      <c r="S63" s="42">
        <f>SUM(S39:S62)</f>
        <v>161262790.27504721</v>
      </c>
      <c r="U63" s="25" t="s">
        <v>27</v>
      </c>
      <c r="V63" s="26"/>
      <c r="W63" s="26"/>
      <c r="X63" s="26"/>
      <c r="Y63" s="26"/>
      <c r="Z63" s="26"/>
      <c r="AA63" s="26"/>
      <c r="AB63" s="26"/>
      <c r="AC63" s="42">
        <f>SUM(AC39:AC62)</f>
        <v>153797125.24484092</v>
      </c>
      <c r="AE63" s="25" t="s">
        <v>27</v>
      </c>
      <c r="AF63" s="26"/>
      <c r="AG63" s="26"/>
      <c r="AH63" s="26"/>
      <c r="AI63" s="26"/>
      <c r="AJ63" s="26"/>
      <c r="AK63" s="26"/>
      <c r="AL63" s="26"/>
      <c r="AM63" s="42">
        <f>SUM(AM39:AM62)</f>
        <v>150503096.31907418</v>
      </c>
    </row>
    <row r="64" spans="1:39" ht="11.1" customHeight="1">
      <c r="A64" s="28"/>
      <c r="B64" s="28"/>
      <c r="C64" s="28"/>
      <c r="D64" s="28"/>
      <c r="E64" s="28"/>
      <c r="F64" s="28"/>
      <c r="G64" s="28"/>
      <c r="H64" s="28"/>
      <c r="I64" s="51"/>
      <c r="K64" s="28"/>
      <c r="L64" s="28"/>
      <c r="M64" s="28"/>
      <c r="N64" s="28"/>
      <c r="O64" s="28"/>
      <c r="P64" s="28"/>
      <c r="Q64" s="28"/>
      <c r="R64" s="28"/>
      <c r="S64" s="51"/>
      <c r="U64" s="28"/>
      <c r="V64" s="28"/>
      <c r="W64" s="28"/>
      <c r="X64" s="28"/>
      <c r="Y64" s="28"/>
      <c r="Z64" s="28"/>
      <c r="AA64" s="28"/>
      <c r="AB64" s="28"/>
      <c r="AC64" s="51"/>
      <c r="AE64" s="28"/>
      <c r="AF64" s="28"/>
      <c r="AG64" s="28"/>
      <c r="AH64" s="28"/>
      <c r="AI64" s="28"/>
      <c r="AJ64" s="28"/>
      <c r="AK64" s="28"/>
      <c r="AL64" s="28"/>
      <c r="AM64" s="51"/>
    </row>
    <row r="65" spans="1:39" ht="11.1" customHeight="1">
      <c r="A65" s="52" t="s">
        <v>28</v>
      </c>
      <c r="B65" s="53"/>
      <c r="C65" s="53"/>
      <c r="D65" s="53"/>
      <c r="E65" s="53"/>
      <c r="F65" s="53"/>
      <c r="G65" s="53"/>
      <c r="H65" s="53"/>
      <c r="I65" s="54">
        <f>I36-I63</f>
        <v>12229742.087804437</v>
      </c>
      <c r="K65" s="52" t="s">
        <v>28</v>
      </c>
      <c r="L65" s="53"/>
      <c r="M65" s="53"/>
      <c r="N65" s="53"/>
      <c r="O65" s="53"/>
      <c r="P65" s="53"/>
      <c r="Q65" s="53"/>
      <c r="R65" s="53"/>
      <c r="S65" s="54">
        <f>S36-S63</f>
        <v>8356169.7249527872</v>
      </c>
      <c r="U65" s="52" t="s">
        <v>28</v>
      </c>
      <c r="V65" s="53"/>
      <c r="W65" s="53"/>
      <c r="X65" s="53"/>
      <c r="Y65" s="53"/>
      <c r="Z65" s="53"/>
      <c r="AA65" s="53"/>
      <c r="AB65" s="53"/>
      <c r="AC65" s="54">
        <f>AC36-AC63</f>
        <v>5009944.75515908</v>
      </c>
      <c r="AE65" s="52" t="s">
        <v>28</v>
      </c>
      <c r="AF65" s="53"/>
      <c r="AG65" s="53"/>
      <c r="AH65" s="53"/>
      <c r="AI65" s="53"/>
      <c r="AJ65" s="53"/>
      <c r="AK65" s="53"/>
      <c r="AL65" s="53"/>
      <c r="AM65" s="54">
        <f>AM36-AM63</f>
        <v>7061363.6809258163</v>
      </c>
    </row>
    <row r="66" spans="1:39" ht="11.1" customHeight="1">
      <c r="A66" s="52" t="s">
        <v>107</v>
      </c>
      <c r="B66" s="53"/>
      <c r="C66" s="53"/>
      <c r="D66" s="53"/>
      <c r="E66" s="53"/>
      <c r="F66" s="53"/>
      <c r="G66" s="53"/>
      <c r="H66" s="53"/>
      <c r="I66" s="54">
        <f>I65/D12</f>
        <v>137.32796684974943</v>
      </c>
      <c r="K66" s="52" t="s">
        <v>107</v>
      </c>
      <c r="L66" s="53"/>
      <c r="M66" s="53"/>
      <c r="N66" s="53"/>
      <c r="O66" s="53"/>
      <c r="P66" s="53"/>
      <c r="Q66" s="53"/>
      <c r="R66" s="53"/>
      <c r="S66" s="54">
        <f>S65/N12</f>
        <v>105.56050688419387</v>
      </c>
      <c r="U66" s="52" t="s">
        <v>107</v>
      </c>
      <c r="V66" s="53"/>
      <c r="W66" s="53"/>
      <c r="X66" s="53"/>
      <c r="Y66" s="53"/>
      <c r="Z66" s="53"/>
      <c r="AA66" s="53"/>
      <c r="AB66" s="53"/>
      <c r="AC66" s="54">
        <f>AC65/X12</f>
        <v>72.330105466817</v>
      </c>
      <c r="AE66" s="52" t="s">
        <v>107</v>
      </c>
      <c r="AF66" s="53"/>
      <c r="AG66" s="53"/>
      <c r="AH66" s="53"/>
      <c r="AI66" s="53"/>
      <c r="AJ66" s="53"/>
      <c r="AK66" s="53"/>
      <c r="AL66" s="53"/>
      <c r="AM66" s="54">
        <f>AM65/AH12</f>
        <v>118.93824626790999</v>
      </c>
    </row>
    <row r="67" ht="11.1" customHeight="1"/>
    <row r="68" ht="11.1" customHeight="1"/>
    <row r="69" spans="1:39" ht="11.1" customHeight="1">
      <c r="A69" s="5"/>
      <c r="B69" s="14"/>
      <c r="C69" s="14"/>
      <c r="D69" s="15"/>
      <c r="E69" s="14"/>
      <c r="F69" s="14"/>
      <c r="G69" s="14"/>
      <c r="H69" s="14"/>
      <c r="I69" s="14"/>
      <c r="K69" s="5"/>
      <c r="L69" s="14"/>
      <c r="M69" s="14"/>
      <c r="N69" s="15"/>
      <c r="O69" s="14"/>
      <c r="P69" s="14"/>
      <c r="Q69" s="14"/>
      <c r="R69" s="14"/>
      <c r="S69" s="14"/>
      <c r="U69" s="5"/>
      <c r="V69" s="14"/>
      <c r="W69" s="14"/>
      <c r="X69" s="15"/>
      <c r="Y69" s="14"/>
      <c r="Z69" s="14"/>
      <c r="AA69" s="14"/>
      <c r="AB69" s="14"/>
      <c r="AC69" s="14"/>
      <c r="AE69" s="5"/>
      <c r="AF69" s="14"/>
      <c r="AG69" s="14"/>
      <c r="AH69" s="15"/>
      <c r="AI69" s="14"/>
      <c r="AJ69" s="14"/>
      <c r="AK69" s="14"/>
      <c r="AL69" s="14"/>
      <c r="AM69" s="14"/>
    </row>
    <row r="70" spans="1:39" ht="11.1" customHeight="1">
      <c r="A70" s="5"/>
      <c r="B70" s="5"/>
      <c r="C70" s="5"/>
      <c r="D70" s="310" t="s">
        <v>79</v>
      </c>
      <c r="E70" s="310"/>
      <c r="F70" s="310"/>
      <c r="G70" s="310"/>
      <c r="H70" s="310"/>
      <c r="I70" s="310"/>
      <c r="K70" s="5"/>
      <c r="L70" s="5"/>
      <c r="M70" s="5"/>
      <c r="N70" s="310" t="s">
        <v>79</v>
      </c>
      <c r="O70" s="310"/>
      <c r="P70" s="310"/>
      <c r="Q70" s="310"/>
      <c r="R70" s="310"/>
      <c r="S70" s="310"/>
      <c r="U70" s="5"/>
      <c r="V70" s="5"/>
      <c r="W70" s="5"/>
      <c r="X70" s="310" t="s">
        <v>79</v>
      </c>
      <c r="Y70" s="310"/>
      <c r="Z70" s="310"/>
      <c r="AA70" s="310"/>
      <c r="AB70" s="310"/>
      <c r="AC70" s="310"/>
      <c r="AE70" s="5"/>
      <c r="AF70" s="5"/>
      <c r="AG70" s="5"/>
      <c r="AH70" s="310" t="s">
        <v>79</v>
      </c>
      <c r="AI70" s="310"/>
      <c r="AJ70" s="310"/>
      <c r="AK70" s="310"/>
      <c r="AL70" s="310"/>
      <c r="AM70" s="310"/>
    </row>
    <row r="71" spans="1:39" ht="11.1" customHeight="1">
      <c r="A71" s="5"/>
      <c r="B71" s="5"/>
      <c r="C71" s="5"/>
      <c r="D71" s="310"/>
      <c r="E71" s="310"/>
      <c r="F71" s="310"/>
      <c r="G71" s="310"/>
      <c r="H71" s="310"/>
      <c r="I71" s="310"/>
      <c r="K71" s="5"/>
      <c r="L71" s="5"/>
      <c r="M71" s="5"/>
      <c r="N71" s="310"/>
      <c r="O71" s="310"/>
      <c r="P71" s="310"/>
      <c r="Q71" s="310"/>
      <c r="R71" s="310"/>
      <c r="S71" s="310"/>
      <c r="U71" s="5"/>
      <c r="V71" s="5"/>
      <c r="W71" s="5"/>
      <c r="X71" s="310"/>
      <c r="Y71" s="310"/>
      <c r="Z71" s="310"/>
      <c r="AA71" s="310"/>
      <c r="AB71" s="310"/>
      <c r="AC71" s="310"/>
      <c r="AE71" s="5"/>
      <c r="AF71" s="5"/>
      <c r="AG71" s="5"/>
      <c r="AH71" s="310"/>
      <c r="AI71" s="310"/>
      <c r="AJ71" s="310"/>
      <c r="AK71" s="310"/>
      <c r="AL71" s="310"/>
      <c r="AM71" s="310"/>
    </row>
    <row r="72" spans="1:39" ht="11.1" customHeight="1">
      <c r="A72" s="5"/>
      <c r="B72" s="5"/>
      <c r="C72" s="5"/>
      <c r="D72" s="310"/>
      <c r="E72" s="310"/>
      <c r="F72" s="310"/>
      <c r="G72" s="310"/>
      <c r="H72" s="310"/>
      <c r="I72" s="310"/>
      <c r="K72" s="5"/>
      <c r="L72" s="5"/>
      <c r="M72" s="5"/>
      <c r="N72" s="310"/>
      <c r="O72" s="310"/>
      <c r="P72" s="310"/>
      <c r="Q72" s="310"/>
      <c r="R72" s="310"/>
      <c r="S72" s="310"/>
      <c r="U72" s="5"/>
      <c r="V72" s="5"/>
      <c r="W72" s="5"/>
      <c r="X72" s="310"/>
      <c r="Y72" s="310"/>
      <c r="Z72" s="310"/>
      <c r="AA72" s="310"/>
      <c r="AB72" s="310"/>
      <c r="AC72" s="310"/>
      <c r="AE72" s="5"/>
      <c r="AF72" s="5"/>
      <c r="AG72" s="5"/>
      <c r="AH72" s="310"/>
      <c r="AI72" s="310"/>
      <c r="AJ72" s="310"/>
      <c r="AK72" s="310"/>
      <c r="AL72" s="310"/>
      <c r="AM72" s="310"/>
    </row>
    <row r="73" spans="1:39" ht="11.1" customHeight="1">
      <c r="A73" s="5"/>
      <c r="B73" s="5"/>
      <c r="C73" s="5"/>
      <c r="D73" s="5"/>
      <c r="E73" s="5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U73" s="5"/>
      <c r="V73" s="5"/>
      <c r="W73" s="5"/>
      <c r="X73" s="5"/>
      <c r="Y73" s="5"/>
      <c r="Z73" s="5"/>
      <c r="AA73" s="5"/>
      <c r="AB73" s="5"/>
      <c r="AC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1.1" customHeight="1">
      <c r="A74" s="16" t="s">
        <v>0</v>
      </c>
      <c r="B74" s="16"/>
      <c r="C74" s="17"/>
      <c r="D74" s="80" t="str">
        <f>Assumptions!$B$87</f>
        <v>Small Scale Strategic Site</v>
      </c>
      <c r="E74" s="75"/>
      <c r="F74" s="75"/>
      <c r="G74" s="76"/>
      <c r="H74" s="30" t="s">
        <v>36</v>
      </c>
      <c r="I74" s="62">
        <f>Assumptions!$C$88</f>
        <v>0</v>
      </c>
      <c r="K74" s="16" t="s">
        <v>0</v>
      </c>
      <c r="L74" s="16"/>
      <c r="M74" s="17"/>
      <c r="N74" s="80" t="str">
        <f>Assumptions!$B$87</f>
        <v>Small Scale Strategic Site</v>
      </c>
      <c r="O74" s="75"/>
      <c r="P74" s="75"/>
      <c r="Q74" s="76"/>
      <c r="R74" s="30" t="s">
        <v>36</v>
      </c>
      <c r="S74" s="62">
        <f>Assumptions!$C$88</f>
        <v>0</v>
      </c>
      <c r="U74" s="16" t="s">
        <v>0</v>
      </c>
      <c r="V74" s="16"/>
      <c r="W74" s="17"/>
      <c r="X74" s="80" t="str">
        <f>Assumptions!$B$87</f>
        <v>Small Scale Strategic Site</v>
      </c>
      <c r="Y74" s="75"/>
      <c r="Z74" s="75"/>
      <c r="AA74" s="76"/>
      <c r="AB74" s="30" t="s">
        <v>36</v>
      </c>
      <c r="AC74" s="62">
        <f>Assumptions!$C$88</f>
        <v>0</v>
      </c>
      <c r="AE74" s="16" t="s">
        <v>0</v>
      </c>
      <c r="AF74" s="16"/>
      <c r="AG74" s="17"/>
      <c r="AH74" s="80" t="str">
        <f>Assumptions!$B$87</f>
        <v>Small Scale Strategic Site</v>
      </c>
      <c r="AI74" s="75"/>
      <c r="AJ74" s="75"/>
      <c r="AK74" s="76"/>
      <c r="AL74" s="30" t="s">
        <v>36</v>
      </c>
      <c r="AM74" s="62">
        <f>Assumptions!$C$88</f>
        <v>0</v>
      </c>
    </row>
    <row r="75" spans="1:39" ht="11.1" customHeight="1">
      <c r="A75" s="16" t="s">
        <v>1</v>
      </c>
      <c r="B75" s="17"/>
      <c r="C75" s="17"/>
      <c r="D75" s="80" t="str">
        <f>'Land Values'!$A$12</f>
        <v>Brownfield</v>
      </c>
      <c r="E75" s="75"/>
      <c r="F75" s="75"/>
      <c r="G75" s="77"/>
      <c r="H75" s="30" t="s">
        <v>37</v>
      </c>
      <c r="I75" s="62">
        <f>Assumptions!$C$89</f>
        <v>250</v>
      </c>
      <c r="K75" s="16" t="s">
        <v>1</v>
      </c>
      <c r="L75" s="17"/>
      <c r="M75" s="17"/>
      <c r="N75" s="80" t="str">
        <f>'Land Values'!$A$12</f>
        <v>Brownfield</v>
      </c>
      <c r="O75" s="75"/>
      <c r="P75" s="75"/>
      <c r="Q75" s="77"/>
      <c r="R75" s="30" t="s">
        <v>37</v>
      </c>
      <c r="S75" s="62">
        <f>Assumptions!$C$89</f>
        <v>250</v>
      </c>
      <c r="U75" s="16" t="s">
        <v>1</v>
      </c>
      <c r="V75" s="17"/>
      <c r="W75" s="17"/>
      <c r="X75" s="80" t="str">
        <f>'Land Values'!$A$12</f>
        <v>Brownfield</v>
      </c>
      <c r="Y75" s="75"/>
      <c r="Z75" s="75"/>
      <c r="AA75" s="77"/>
      <c r="AB75" s="30" t="s">
        <v>37</v>
      </c>
      <c r="AC75" s="62">
        <f>Assumptions!$C$89</f>
        <v>250</v>
      </c>
      <c r="AE75" s="16" t="s">
        <v>1</v>
      </c>
      <c r="AF75" s="17"/>
      <c r="AG75" s="17"/>
      <c r="AH75" s="80" t="str">
        <f>'Land Values'!$A$12</f>
        <v>Brownfield</v>
      </c>
      <c r="AI75" s="75"/>
      <c r="AJ75" s="75"/>
      <c r="AK75" s="77"/>
      <c r="AL75" s="30" t="s">
        <v>37</v>
      </c>
      <c r="AM75" s="62">
        <f>Assumptions!$C$89</f>
        <v>250</v>
      </c>
    </row>
    <row r="76" spans="1:39" ht="11.1" customHeight="1">
      <c r="A76" s="16" t="s">
        <v>2</v>
      </c>
      <c r="B76" s="16"/>
      <c r="C76" s="17"/>
      <c r="D76" s="81" t="str">
        <f>Assumptions!A13</f>
        <v>Malpas &amp; Bettws</v>
      </c>
      <c r="E76" s="78"/>
      <c r="F76" s="78"/>
      <c r="G76" s="79"/>
      <c r="H76" s="30" t="s">
        <v>38</v>
      </c>
      <c r="I76" s="62">
        <f>Assumptions!$C$90</f>
        <v>400</v>
      </c>
      <c r="K76" s="16" t="s">
        <v>2</v>
      </c>
      <c r="L76" s="16"/>
      <c r="M76" s="17"/>
      <c r="N76" s="275" t="str">
        <f>Assumptions!A14</f>
        <v>Newport East </v>
      </c>
      <c r="O76" s="276"/>
      <c r="P76" s="276"/>
      <c r="Q76" s="277"/>
      <c r="R76" s="30" t="s">
        <v>38</v>
      </c>
      <c r="S76" s="62">
        <f>Assumptions!$C$90</f>
        <v>400</v>
      </c>
      <c r="U76" s="16" t="s">
        <v>2</v>
      </c>
      <c r="V76" s="16"/>
      <c r="W76" s="17"/>
      <c r="X76" s="272" t="str">
        <f>Assumptions!A15</f>
        <v>Rog/Newport West </v>
      </c>
      <c r="Y76" s="273"/>
      <c r="Z76" s="273"/>
      <c r="AA76" s="274"/>
      <c r="AB76" s="30" t="s">
        <v>38</v>
      </c>
      <c r="AC76" s="62">
        <f>Assumptions!$C$90</f>
        <v>400</v>
      </c>
      <c r="AE76" s="16" t="s">
        <v>2</v>
      </c>
      <c r="AF76" s="16"/>
      <c r="AG76" s="17"/>
      <c r="AH76" s="269" t="str">
        <f>Assumptions!A16</f>
        <v>Caerleon/Rural</v>
      </c>
      <c r="AI76" s="270"/>
      <c r="AJ76" s="270"/>
      <c r="AK76" s="271"/>
      <c r="AL76" s="30" t="s">
        <v>38</v>
      </c>
      <c r="AM76" s="62">
        <f>Assumptions!$C$90</f>
        <v>400</v>
      </c>
    </row>
    <row r="77" spans="1:39" ht="11.1" customHeight="1">
      <c r="A77" s="16" t="s">
        <v>3</v>
      </c>
      <c r="B77" s="16"/>
      <c r="C77" s="17"/>
      <c r="D77" s="63">
        <f>SUM(I74:I78)</f>
        <v>1000</v>
      </c>
      <c r="E77" s="55" t="s">
        <v>95</v>
      </c>
      <c r="F77" s="17"/>
      <c r="G77" s="19"/>
      <c r="H77" s="30" t="s">
        <v>39</v>
      </c>
      <c r="I77" s="62">
        <f>Assumptions!$C$91</f>
        <v>250</v>
      </c>
      <c r="K77" s="16" t="s">
        <v>3</v>
      </c>
      <c r="L77" s="16"/>
      <c r="M77" s="17"/>
      <c r="N77" s="63">
        <f>SUM(S74:S78)</f>
        <v>1000</v>
      </c>
      <c r="O77" s="55" t="s">
        <v>95</v>
      </c>
      <c r="P77" s="17"/>
      <c r="Q77" s="19"/>
      <c r="R77" s="30" t="s">
        <v>39</v>
      </c>
      <c r="S77" s="62">
        <f>Assumptions!$C$91</f>
        <v>250</v>
      </c>
      <c r="U77" s="16" t="s">
        <v>3</v>
      </c>
      <c r="V77" s="16"/>
      <c r="W77" s="17"/>
      <c r="X77" s="63">
        <f>SUM(AC74:AC78)</f>
        <v>1000</v>
      </c>
      <c r="Y77" s="55" t="s">
        <v>95</v>
      </c>
      <c r="Z77" s="17"/>
      <c r="AA77" s="19"/>
      <c r="AB77" s="30" t="s">
        <v>39</v>
      </c>
      <c r="AC77" s="62">
        <f>Assumptions!$C$91</f>
        <v>250</v>
      </c>
      <c r="AE77" s="16" t="s">
        <v>3</v>
      </c>
      <c r="AF77" s="16"/>
      <c r="AG77" s="17"/>
      <c r="AH77" s="63">
        <f>SUM(AM74:AM78)</f>
        <v>1000</v>
      </c>
      <c r="AI77" s="55" t="s">
        <v>95</v>
      </c>
      <c r="AJ77" s="17"/>
      <c r="AK77" s="19"/>
      <c r="AL77" s="30" t="s">
        <v>39</v>
      </c>
      <c r="AM77" s="62">
        <f>Assumptions!$C$91</f>
        <v>250</v>
      </c>
    </row>
    <row r="78" spans="1:39" ht="11.1" customHeight="1">
      <c r="A78" s="16" t="s">
        <v>81</v>
      </c>
      <c r="B78" s="17"/>
      <c r="C78" s="22">
        <f>Assumptions!$C$13</f>
        <v>0.1</v>
      </c>
      <c r="D78" s="63">
        <f>D77*C78</f>
        <v>100</v>
      </c>
      <c r="E78" s="55" t="s">
        <v>83</v>
      </c>
      <c r="F78" s="19"/>
      <c r="G78" s="21"/>
      <c r="H78" s="30" t="s">
        <v>40</v>
      </c>
      <c r="I78" s="62">
        <f>Assumptions!$C$92</f>
        <v>100</v>
      </c>
      <c r="K78" s="16" t="s">
        <v>81</v>
      </c>
      <c r="L78" s="17"/>
      <c r="M78" s="22">
        <f>Assumptions!$C$14</f>
        <v>0.2</v>
      </c>
      <c r="N78" s="63">
        <f>N77*M78</f>
        <v>200</v>
      </c>
      <c r="O78" s="55" t="s">
        <v>83</v>
      </c>
      <c r="P78" s="19"/>
      <c r="Q78" s="21"/>
      <c r="R78" s="30" t="s">
        <v>40</v>
      </c>
      <c r="S78" s="62">
        <f>Assumptions!$C$92</f>
        <v>100</v>
      </c>
      <c r="U78" s="16" t="s">
        <v>81</v>
      </c>
      <c r="V78" s="17"/>
      <c r="W78" s="22">
        <f>Assumptions!$C$15</f>
        <v>0.3</v>
      </c>
      <c r="X78" s="63">
        <f>X77*W78</f>
        <v>300</v>
      </c>
      <c r="Y78" s="55" t="s">
        <v>83</v>
      </c>
      <c r="Z78" s="19"/>
      <c r="AA78" s="21"/>
      <c r="AB78" s="30" t="s">
        <v>40</v>
      </c>
      <c r="AC78" s="62">
        <f>Assumptions!$C$92</f>
        <v>100</v>
      </c>
      <c r="AE78" s="16" t="s">
        <v>81</v>
      </c>
      <c r="AF78" s="17"/>
      <c r="AG78" s="22">
        <f>Assumptions!$C$16</f>
        <v>0.4</v>
      </c>
      <c r="AH78" s="63">
        <f>AH77*AG78</f>
        <v>400</v>
      </c>
      <c r="AI78" s="55" t="s">
        <v>83</v>
      </c>
      <c r="AJ78" s="19"/>
      <c r="AK78" s="21"/>
      <c r="AL78" s="30" t="s">
        <v>40</v>
      </c>
      <c r="AM78" s="62">
        <f>Assumptions!$C$92</f>
        <v>100</v>
      </c>
    </row>
    <row r="79" spans="1:39" ht="11.1" customHeight="1">
      <c r="A79" s="16" t="s">
        <v>84</v>
      </c>
      <c r="B79" s="17"/>
      <c r="C79" s="64">
        <f>Assumptions!$D$13</f>
        <v>1</v>
      </c>
      <c r="D79" s="30" t="s">
        <v>33</v>
      </c>
      <c r="E79" s="22">
        <f>Assumptions!$E$13</f>
        <v>0</v>
      </c>
      <c r="F79" s="30" t="s">
        <v>34</v>
      </c>
      <c r="G79" s="65">
        <f>Assumptions!$F$13</f>
        <v>0</v>
      </c>
      <c r="H79" s="55" t="s">
        <v>35</v>
      </c>
      <c r="I79" s="11"/>
      <c r="K79" s="16" t="s">
        <v>84</v>
      </c>
      <c r="L79" s="17"/>
      <c r="M79" s="64">
        <f>Assumptions!$D$14</f>
        <v>1</v>
      </c>
      <c r="N79" s="30" t="s">
        <v>33</v>
      </c>
      <c r="O79" s="22">
        <f>Assumptions!$E$14</f>
        <v>0</v>
      </c>
      <c r="P79" s="30" t="s">
        <v>34</v>
      </c>
      <c r="Q79" s="65">
        <f>Assumptions!$F$14</f>
        <v>0</v>
      </c>
      <c r="R79" s="55" t="s">
        <v>35</v>
      </c>
      <c r="S79" s="11"/>
      <c r="U79" s="16" t="s">
        <v>84</v>
      </c>
      <c r="V79" s="17"/>
      <c r="W79" s="64">
        <f>Assumptions!$D$15</f>
        <v>1</v>
      </c>
      <c r="X79" s="30" t="s">
        <v>33</v>
      </c>
      <c r="Y79" s="22">
        <f>Assumptions!$E$15</f>
        <v>0</v>
      </c>
      <c r="Z79" s="30" t="s">
        <v>34</v>
      </c>
      <c r="AA79" s="65">
        <f>Assumptions!$F$15</f>
        <v>0</v>
      </c>
      <c r="AB79" s="55" t="s">
        <v>35</v>
      </c>
      <c r="AC79" s="11"/>
      <c r="AE79" s="16" t="s">
        <v>84</v>
      </c>
      <c r="AF79" s="17"/>
      <c r="AG79" s="64">
        <f>Assumptions!$D$16</f>
        <v>1</v>
      </c>
      <c r="AH79" s="30" t="s">
        <v>33</v>
      </c>
      <c r="AI79" s="22">
        <f>Assumptions!$E$16</f>
        <v>0</v>
      </c>
      <c r="AJ79" s="30" t="s">
        <v>34</v>
      </c>
      <c r="AK79" s="65">
        <f>Assumptions!$F$16</f>
        <v>0</v>
      </c>
      <c r="AL79" s="55" t="s">
        <v>35</v>
      </c>
      <c r="AM79" s="11"/>
    </row>
    <row r="80" spans="1:39" ht="11.1" customHeight="1">
      <c r="A80" s="16" t="s">
        <v>85</v>
      </c>
      <c r="B80" s="17"/>
      <c r="C80" s="17"/>
      <c r="D80" s="23">
        <f>(A83*C83)+(A84*C84)+(A85*C85)+(A86*C86)+(A87*C87)</f>
        <v>89055</v>
      </c>
      <c r="E80" s="55" t="s">
        <v>86</v>
      </c>
      <c r="F80" s="19"/>
      <c r="G80" s="24">
        <f>SUM(A90*C90)+(A91*C91)+(A92*C92)+(A95*C95)+(A96*C96)+(A97*C97)+(A100*C100)+(A101*C101)+(A102*C102)</f>
        <v>8630</v>
      </c>
      <c r="H80" s="30" t="s">
        <v>87</v>
      </c>
      <c r="I80" s="19"/>
      <c r="K80" s="16" t="s">
        <v>85</v>
      </c>
      <c r="L80" s="17"/>
      <c r="M80" s="17"/>
      <c r="N80" s="23">
        <f>(K83*M83)+(K84*M84)+(K85*M85)+(K86*M86)+(K87*M87)</f>
        <v>79160</v>
      </c>
      <c r="O80" s="55" t="s">
        <v>86</v>
      </c>
      <c r="P80" s="19"/>
      <c r="Q80" s="24">
        <f>SUM(K90*M90)+(K91*M91)+(K92*M92)+(K95*M95)+(K96*M96)+(K97*M97)+(K100*M100)+(K101*M101)+(K102*M102)</f>
        <v>17260</v>
      </c>
      <c r="R80" s="30" t="s">
        <v>87</v>
      </c>
      <c r="S80" s="19"/>
      <c r="U80" s="16" t="s">
        <v>85</v>
      </c>
      <c r="V80" s="17"/>
      <c r="W80" s="17"/>
      <c r="X80" s="23">
        <f>(U83*W83)+(U84*W84)+(U85*W85)+(U86*W86)+(U87*W87)</f>
        <v>69265</v>
      </c>
      <c r="Y80" s="55" t="s">
        <v>86</v>
      </c>
      <c r="Z80" s="19"/>
      <c r="AA80" s="24">
        <f>SUM(U90*W90)+(U91*W91)+(U92*W92)+(U95*W95)+(U96*W96)+(U97*W97)+(U100*W100)+(U101*W101)+(U102*W102)</f>
        <v>25890</v>
      </c>
      <c r="AB80" s="30" t="s">
        <v>87</v>
      </c>
      <c r="AC80" s="19"/>
      <c r="AE80" s="16" t="s">
        <v>85</v>
      </c>
      <c r="AF80" s="17"/>
      <c r="AG80" s="17"/>
      <c r="AH80" s="23">
        <f>(AE83*AG83)+(AE84*AG84)+(AE85*AG85)+(AE86*AG86)+(AE87*AG87)</f>
        <v>59370</v>
      </c>
      <c r="AI80" s="55" t="s">
        <v>86</v>
      </c>
      <c r="AJ80" s="19"/>
      <c r="AK80" s="24">
        <f>SUM(AE90*AG90)+(AE91*AG91)+(AE92*AG92)+(AE95*AG95)+(AE96*AG96)+(AE97*AG97)+(AE100*AG100)+(AE101*AG101)+(AE102*AG102)</f>
        <v>34520</v>
      </c>
      <c r="AL80" s="30" t="s">
        <v>87</v>
      </c>
      <c r="AM80" s="19"/>
    </row>
    <row r="81" spans="1:39" ht="11.1" customHeight="1">
      <c r="A81" s="25" t="s">
        <v>4</v>
      </c>
      <c r="B81" s="26"/>
      <c r="C81" s="26"/>
      <c r="D81" s="26"/>
      <c r="E81" s="26"/>
      <c r="F81" s="26"/>
      <c r="G81" s="26"/>
      <c r="H81" s="26"/>
      <c r="I81" s="27"/>
      <c r="K81" s="25" t="s">
        <v>4</v>
      </c>
      <c r="L81" s="26"/>
      <c r="M81" s="26"/>
      <c r="N81" s="26"/>
      <c r="O81" s="26"/>
      <c r="P81" s="26"/>
      <c r="Q81" s="26"/>
      <c r="R81" s="26"/>
      <c r="S81" s="27"/>
      <c r="U81" s="25" t="s">
        <v>4</v>
      </c>
      <c r="V81" s="26"/>
      <c r="W81" s="26"/>
      <c r="X81" s="26"/>
      <c r="Y81" s="26"/>
      <c r="Z81" s="26"/>
      <c r="AA81" s="26"/>
      <c r="AB81" s="26"/>
      <c r="AC81" s="27"/>
      <c r="AE81" s="25" t="s">
        <v>4</v>
      </c>
      <c r="AF81" s="26"/>
      <c r="AG81" s="26"/>
      <c r="AH81" s="26"/>
      <c r="AI81" s="26"/>
      <c r="AJ81" s="26"/>
      <c r="AK81" s="26"/>
      <c r="AL81" s="26"/>
      <c r="AM81" s="27"/>
    </row>
    <row r="82" spans="1:39" ht="11.1" customHeight="1">
      <c r="A82" s="17" t="s">
        <v>88</v>
      </c>
      <c r="B82" s="17"/>
      <c r="C82" s="28"/>
      <c r="D82" s="28"/>
      <c r="E82" s="28"/>
      <c r="F82" s="28"/>
      <c r="G82" s="28"/>
      <c r="H82" s="28"/>
      <c r="I82" s="19"/>
      <c r="K82" s="17" t="s">
        <v>88</v>
      </c>
      <c r="L82" s="17"/>
      <c r="M82" s="28"/>
      <c r="N82" s="28"/>
      <c r="O82" s="28"/>
      <c r="P82" s="28"/>
      <c r="Q82" s="28"/>
      <c r="R82" s="28"/>
      <c r="S82" s="19"/>
      <c r="U82" s="17" t="s">
        <v>88</v>
      </c>
      <c r="V82" s="17"/>
      <c r="W82" s="28"/>
      <c r="X82" s="28"/>
      <c r="Y82" s="28"/>
      <c r="Z82" s="28"/>
      <c r="AA82" s="28"/>
      <c r="AB82" s="28"/>
      <c r="AC82" s="19"/>
      <c r="AE82" s="17" t="s">
        <v>88</v>
      </c>
      <c r="AF82" s="17"/>
      <c r="AG82" s="28"/>
      <c r="AH82" s="28"/>
      <c r="AI82" s="28"/>
      <c r="AJ82" s="28"/>
      <c r="AK82" s="28"/>
      <c r="AL82" s="28"/>
      <c r="AM82" s="19"/>
    </row>
    <row r="83" spans="1:39" ht="11.1" customHeight="1">
      <c r="A83" s="29">
        <f>I74*(100%-C78)</f>
        <v>0</v>
      </c>
      <c r="B83" s="30" t="s">
        <v>36</v>
      </c>
      <c r="C83" s="31">
        <f>Assumptions!$B$22</f>
        <v>61</v>
      </c>
      <c r="D83" s="32" t="s">
        <v>5</v>
      </c>
      <c r="E83" s="18">
        <f>Assumptions!$C$32</f>
        <v>1950</v>
      </c>
      <c r="F83" s="32" t="s">
        <v>6</v>
      </c>
      <c r="G83" s="28"/>
      <c r="H83" s="28"/>
      <c r="I83" s="33">
        <f>A83*C83*E83</f>
        <v>0</v>
      </c>
      <c r="K83" s="29">
        <f>S74*(100%-M78)</f>
        <v>0</v>
      </c>
      <c r="L83" s="30" t="s">
        <v>36</v>
      </c>
      <c r="M83" s="31">
        <f>Assumptions!$B$22</f>
        <v>61</v>
      </c>
      <c r="N83" s="32" t="s">
        <v>5</v>
      </c>
      <c r="O83" s="18">
        <f>Assumptions!$C$33</f>
        <v>1950</v>
      </c>
      <c r="P83" s="32" t="s">
        <v>6</v>
      </c>
      <c r="Q83" s="28"/>
      <c r="R83" s="28"/>
      <c r="S83" s="33">
        <f>K83*M83*O83</f>
        <v>0</v>
      </c>
      <c r="U83" s="29">
        <f>AC74*(100%-W78)</f>
        <v>0</v>
      </c>
      <c r="V83" s="30" t="s">
        <v>36</v>
      </c>
      <c r="W83" s="31">
        <f>Assumptions!$B$22</f>
        <v>61</v>
      </c>
      <c r="X83" s="32" t="s">
        <v>5</v>
      </c>
      <c r="Y83" s="18">
        <f>Assumptions!$C$34</f>
        <v>1950</v>
      </c>
      <c r="Z83" s="32" t="s">
        <v>6</v>
      </c>
      <c r="AA83" s="28"/>
      <c r="AB83" s="28"/>
      <c r="AC83" s="33">
        <f>U83*W83*Y83</f>
        <v>0</v>
      </c>
      <c r="AE83" s="29">
        <f>AM74*(100%-AG78)</f>
        <v>0</v>
      </c>
      <c r="AF83" s="30" t="s">
        <v>36</v>
      </c>
      <c r="AG83" s="31">
        <f>Assumptions!$B$22</f>
        <v>61</v>
      </c>
      <c r="AH83" s="32" t="s">
        <v>5</v>
      </c>
      <c r="AI83" s="18">
        <f>Assumptions!$C$35</f>
        <v>2050</v>
      </c>
      <c r="AJ83" s="32" t="s">
        <v>6</v>
      </c>
      <c r="AK83" s="28"/>
      <c r="AL83" s="28"/>
      <c r="AM83" s="33">
        <f>AE83*AG83*AI83</f>
        <v>0</v>
      </c>
    </row>
    <row r="84" spans="1:39" ht="11.1" customHeight="1">
      <c r="A84" s="29">
        <f>I75*(100%-C78)</f>
        <v>225</v>
      </c>
      <c r="B84" s="30" t="s">
        <v>37</v>
      </c>
      <c r="C84" s="31">
        <f>Assumptions!$B$23</f>
        <v>75</v>
      </c>
      <c r="D84" s="32" t="s">
        <v>5</v>
      </c>
      <c r="E84" s="18">
        <f>Assumptions!$D$32</f>
        <v>1950</v>
      </c>
      <c r="F84" s="32" t="s">
        <v>6</v>
      </c>
      <c r="G84" s="28"/>
      <c r="H84" s="28"/>
      <c r="I84" s="33">
        <f>A84*C84*E84</f>
        <v>32906250</v>
      </c>
      <c r="K84" s="29">
        <f>S75*(100%-M78)</f>
        <v>200</v>
      </c>
      <c r="L84" s="30" t="s">
        <v>37</v>
      </c>
      <c r="M84" s="31">
        <f>Assumptions!$B$23</f>
        <v>75</v>
      </c>
      <c r="N84" s="32" t="s">
        <v>5</v>
      </c>
      <c r="O84" s="18">
        <f>Assumptions!$D$33</f>
        <v>1950</v>
      </c>
      <c r="P84" s="32" t="s">
        <v>6</v>
      </c>
      <c r="Q84" s="28"/>
      <c r="R84" s="28"/>
      <c r="S84" s="33">
        <f>K84*M84*O84</f>
        <v>29250000</v>
      </c>
      <c r="U84" s="29">
        <f>AC75*(100%-W78)</f>
        <v>175</v>
      </c>
      <c r="V84" s="30" t="s">
        <v>37</v>
      </c>
      <c r="W84" s="31">
        <f>Assumptions!$B$23</f>
        <v>75</v>
      </c>
      <c r="X84" s="32" t="s">
        <v>5</v>
      </c>
      <c r="Y84" s="18">
        <f>Assumptions!$D$34</f>
        <v>1950</v>
      </c>
      <c r="Z84" s="32" t="s">
        <v>6</v>
      </c>
      <c r="AA84" s="28"/>
      <c r="AB84" s="28"/>
      <c r="AC84" s="33">
        <f>U84*W84*Y84</f>
        <v>25593750</v>
      </c>
      <c r="AE84" s="29">
        <f>AM75*(100%-AG78)</f>
        <v>150</v>
      </c>
      <c r="AF84" s="30" t="s">
        <v>37</v>
      </c>
      <c r="AG84" s="31">
        <f>Assumptions!$B$23</f>
        <v>75</v>
      </c>
      <c r="AH84" s="32" t="s">
        <v>5</v>
      </c>
      <c r="AI84" s="18">
        <f>Assumptions!$D$35</f>
        <v>2050</v>
      </c>
      <c r="AJ84" s="32" t="s">
        <v>6</v>
      </c>
      <c r="AK84" s="28"/>
      <c r="AL84" s="28"/>
      <c r="AM84" s="33">
        <f>AE84*AG84*AI84</f>
        <v>23062500</v>
      </c>
    </row>
    <row r="85" spans="1:39" ht="11.1" customHeight="1">
      <c r="A85" s="29">
        <f>I76*(100%-C78)</f>
        <v>360</v>
      </c>
      <c r="B85" s="30" t="s">
        <v>38</v>
      </c>
      <c r="C85" s="31">
        <f>Assumptions!$B$24</f>
        <v>88</v>
      </c>
      <c r="D85" s="32" t="s">
        <v>5</v>
      </c>
      <c r="E85" s="18">
        <f>Assumptions!$E$32</f>
        <v>1950</v>
      </c>
      <c r="F85" s="32" t="s">
        <v>6</v>
      </c>
      <c r="G85" s="28"/>
      <c r="H85" s="28"/>
      <c r="I85" s="33">
        <f>A85*C85*E85</f>
        <v>61776000</v>
      </c>
      <c r="K85" s="29">
        <f>S76*(100%-M78)</f>
        <v>320</v>
      </c>
      <c r="L85" s="30" t="s">
        <v>38</v>
      </c>
      <c r="M85" s="31">
        <f>Assumptions!$B$24</f>
        <v>88</v>
      </c>
      <c r="N85" s="32" t="s">
        <v>5</v>
      </c>
      <c r="O85" s="18">
        <f>Assumptions!$E$33</f>
        <v>1950</v>
      </c>
      <c r="P85" s="32" t="s">
        <v>6</v>
      </c>
      <c r="Q85" s="28"/>
      <c r="R85" s="28"/>
      <c r="S85" s="33">
        <f>K85*M85*O85</f>
        <v>54912000</v>
      </c>
      <c r="U85" s="29">
        <f>AC76*(100%-W78)</f>
        <v>280</v>
      </c>
      <c r="V85" s="30" t="s">
        <v>38</v>
      </c>
      <c r="W85" s="31">
        <f>Assumptions!$B$24</f>
        <v>88</v>
      </c>
      <c r="X85" s="32" t="s">
        <v>5</v>
      </c>
      <c r="Y85" s="18">
        <f>Assumptions!$E$34</f>
        <v>1950</v>
      </c>
      <c r="Z85" s="32" t="s">
        <v>6</v>
      </c>
      <c r="AA85" s="28"/>
      <c r="AB85" s="28"/>
      <c r="AC85" s="33">
        <f>U85*W85*Y85</f>
        <v>48048000</v>
      </c>
      <c r="AE85" s="29">
        <f>AM76*(100%-AG78)</f>
        <v>240</v>
      </c>
      <c r="AF85" s="30" t="s">
        <v>38</v>
      </c>
      <c r="AG85" s="31">
        <f>Assumptions!$B$24</f>
        <v>88</v>
      </c>
      <c r="AH85" s="32" t="s">
        <v>5</v>
      </c>
      <c r="AI85" s="18">
        <f>Assumptions!$E$35</f>
        <v>2050</v>
      </c>
      <c r="AJ85" s="32" t="s">
        <v>6</v>
      </c>
      <c r="AK85" s="28"/>
      <c r="AL85" s="28"/>
      <c r="AM85" s="33">
        <f>AE85*AG85*AI85</f>
        <v>43296000</v>
      </c>
    </row>
    <row r="86" spans="1:39" ht="11.1" customHeight="1">
      <c r="A86" s="29">
        <f>I77*(100%-C78)</f>
        <v>225</v>
      </c>
      <c r="B86" s="30" t="s">
        <v>39</v>
      </c>
      <c r="C86" s="31">
        <f>Assumptions!$B$25</f>
        <v>120</v>
      </c>
      <c r="D86" s="32" t="s">
        <v>5</v>
      </c>
      <c r="E86" s="18">
        <f>Assumptions!$F$32</f>
        <v>1950</v>
      </c>
      <c r="F86" s="32" t="s">
        <v>6</v>
      </c>
      <c r="G86" s="28"/>
      <c r="H86" s="28"/>
      <c r="I86" s="33">
        <f>A86*C86*E86</f>
        <v>52650000</v>
      </c>
      <c r="K86" s="29">
        <f>S77*(100%-M78)</f>
        <v>200</v>
      </c>
      <c r="L86" s="30" t="s">
        <v>39</v>
      </c>
      <c r="M86" s="31">
        <f>Assumptions!$B$25</f>
        <v>120</v>
      </c>
      <c r="N86" s="32" t="s">
        <v>5</v>
      </c>
      <c r="O86" s="18">
        <f>Assumptions!$F$33</f>
        <v>1950</v>
      </c>
      <c r="P86" s="32" t="s">
        <v>6</v>
      </c>
      <c r="Q86" s="28"/>
      <c r="R86" s="28"/>
      <c r="S86" s="33">
        <f>K86*M86*O86</f>
        <v>46800000</v>
      </c>
      <c r="U86" s="29">
        <f>AC77*(100%-W78)</f>
        <v>175</v>
      </c>
      <c r="V86" s="30" t="s">
        <v>39</v>
      </c>
      <c r="W86" s="31">
        <f>Assumptions!$B$25</f>
        <v>120</v>
      </c>
      <c r="X86" s="32" t="s">
        <v>5</v>
      </c>
      <c r="Y86" s="18">
        <f>Assumptions!$F$34</f>
        <v>1950</v>
      </c>
      <c r="Z86" s="32" t="s">
        <v>6</v>
      </c>
      <c r="AA86" s="28"/>
      <c r="AB86" s="28"/>
      <c r="AC86" s="33">
        <f>U86*W86*Y86</f>
        <v>40950000</v>
      </c>
      <c r="AE86" s="29">
        <f>AM77*(100%-AG78)</f>
        <v>150</v>
      </c>
      <c r="AF86" s="30" t="s">
        <v>39</v>
      </c>
      <c r="AG86" s="31">
        <f>Assumptions!$B$25</f>
        <v>120</v>
      </c>
      <c r="AH86" s="32" t="s">
        <v>5</v>
      </c>
      <c r="AI86" s="18">
        <f>Assumptions!$F$35</f>
        <v>2050</v>
      </c>
      <c r="AJ86" s="32" t="s">
        <v>6</v>
      </c>
      <c r="AK86" s="28"/>
      <c r="AL86" s="28"/>
      <c r="AM86" s="33">
        <f>AE86*AG86*AI86</f>
        <v>36900000</v>
      </c>
    </row>
    <row r="87" spans="1:39" ht="11.1" customHeight="1">
      <c r="A87" s="29">
        <f>I78*(100%-C78)</f>
        <v>90</v>
      </c>
      <c r="B87" s="30" t="s">
        <v>40</v>
      </c>
      <c r="C87" s="31">
        <f>Assumptions!$B$26</f>
        <v>150</v>
      </c>
      <c r="D87" s="32" t="s">
        <v>5</v>
      </c>
      <c r="E87" s="18">
        <f>Assumptions!$G$32</f>
        <v>1950</v>
      </c>
      <c r="F87" s="32" t="s">
        <v>6</v>
      </c>
      <c r="G87" s="28"/>
      <c r="H87" s="28"/>
      <c r="I87" s="33">
        <f>A87*C87*E87</f>
        <v>26325000</v>
      </c>
      <c r="K87" s="29">
        <f>S78*(100%-M78)</f>
        <v>80</v>
      </c>
      <c r="L87" s="30" t="s">
        <v>40</v>
      </c>
      <c r="M87" s="31">
        <f>Assumptions!$B$26</f>
        <v>150</v>
      </c>
      <c r="N87" s="32" t="s">
        <v>5</v>
      </c>
      <c r="O87" s="18">
        <f>Assumptions!$G$33</f>
        <v>1950</v>
      </c>
      <c r="P87" s="32" t="s">
        <v>6</v>
      </c>
      <c r="Q87" s="28"/>
      <c r="R87" s="28"/>
      <c r="S87" s="33">
        <f>K87*M87*O87</f>
        <v>23400000</v>
      </c>
      <c r="U87" s="29">
        <f>AC78*(100%-W78)</f>
        <v>70</v>
      </c>
      <c r="V87" s="30" t="s">
        <v>40</v>
      </c>
      <c r="W87" s="31">
        <f>Assumptions!$B$26</f>
        <v>150</v>
      </c>
      <c r="X87" s="32" t="s">
        <v>5</v>
      </c>
      <c r="Y87" s="18">
        <f>Assumptions!$G$34</f>
        <v>1950</v>
      </c>
      <c r="Z87" s="32" t="s">
        <v>6</v>
      </c>
      <c r="AA87" s="28"/>
      <c r="AB87" s="28"/>
      <c r="AC87" s="33">
        <f>U87*W87*Y87</f>
        <v>20475000</v>
      </c>
      <c r="AE87" s="29">
        <f>AM78*(100%-AG78)</f>
        <v>60</v>
      </c>
      <c r="AF87" s="30" t="s">
        <v>40</v>
      </c>
      <c r="AG87" s="31">
        <f>Assumptions!$B$26</f>
        <v>150</v>
      </c>
      <c r="AH87" s="32" t="s">
        <v>5</v>
      </c>
      <c r="AI87" s="18">
        <f>Assumptions!$G$35</f>
        <v>2050</v>
      </c>
      <c r="AJ87" s="32" t="s">
        <v>6</v>
      </c>
      <c r="AK87" s="28"/>
      <c r="AL87" s="28"/>
      <c r="AM87" s="33">
        <f>AE87*AG87*AI87</f>
        <v>18450000</v>
      </c>
    </row>
    <row r="88" spans="1:39" ht="11.1" customHeight="1">
      <c r="A88" s="26"/>
      <c r="B88" s="26"/>
      <c r="C88" s="26"/>
      <c r="D88" s="34"/>
      <c r="E88" s="26"/>
      <c r="F88" s="34"/>
      <c r="G88" s="26"/>
      <c r="H88" s="26"/>
      <c r="I88" s="35"/>
      <c r="K88" s="26"/>
      <c r="L88" s="26"/>
      <c r="M88" s="26"/>
      <c r="N88" s="34"/>
      <c r="O88" s="26"/>
      <c r="P88" s="34"/>
      <c r="Q88" s="26"/>
      <c r="R88" s="26"/>
      <c r="S88" s="35"/>
      <c r="U88" s="26"/>
      <c r="V88" s="26"/>
      <c r="W88" s="26"/>
      <c r="X88" s="34"/>
      <c r="Y88" s="26"/>
      <c r="Z88" s="34"/>
      <c r="AA88" s="26"/>
      <c r="AB88" s="26"/>
      <c r="AC88" s="35"/>
      <c r="AE88" s="26"/>
      <c r="AF88" s="26"/>
      <c r="AG88" s="26"/>
      <c r="AH88" s="34"/>
      <c r="AI88" s="26"/>
      <c r="AJ88" s="34"/>
      <c r="AK88" s="26"/>
      <c r="AL88" s="26"/>
      <c r="AM88" s="35"/>
    </row>
    <row r="89" spans="1:39" ht="11.1" customHeight="1">
      <c r="A89" s="17" t="str">
        <f>Assumptions!$D$12</f>
        <v>Neutral Tenure</v>
      </c>
      <c r="B89" s="17"/>
      <c r="C89"/>
      <c r="D89"/>
      <c r="E89" s="28"/>
      <c r="F89" s="32"/>
      <c r="G89" s="28"/>
      <c r="H89" s="28"/>
      <c r="I89" s="36"/>
      <c r="J89"/>
      <c r="K89" s="17" t="str">
        <f>Assumptions!$D$12</f>
        <v>Neutral Tenure</v>
      </c>
      <c r="L89" s="17"/>
      <c r="M89"/>
      <c r="N89"/>
      <c r="O89" s="28"/>
      <c r="P89" s="32"/>
      <c r="Q89" s="28"/>
      <c r="R89" s="28"/>
      <c r="S89" s="36"/>
      <c r="T89"/>
      <c r="U89" s="17" t="str">
        <f>Assumptions!$D$12</f>
        <v>Neutral Tenure</v>
      </c>
      <c r="V89" s="17"/>
      <c r="W89"/>
      <c r="X89"/>
      <c r="Y89" s="28"/>
      <c r="Z89" s="32"/>
      <c r="AA89" s="28"/>
      <c r="AB89" s="28"/>
      <c r="AC89" s="36"/>
      <c r="AD89"/>
      <c r="AE89" s="17" t="str">
        <f>Assumptions!$D$12</f>
        <v>Neutral Tenure</v>
      </c>
      <c r="AF89" s="17"/>
      <c r="AG89"/>
      <c r="AH89"/>
      <c r="AI89" s="28"/>
      <c r="AJ89" s="32"/>
      <c r="AK89" s="28"/>
      <c r="AL89" s="28"/>
      <c r="AM89" s="36"/>
    </row>
    <row r="90" spans="1:39" ht="11.1" customHeight="1">
      <c r="A90" s="29">
        <f>D78*C79*Assumptions!$H$13</f>
        <v>0</v>
      </c>
      <c r="B90" s="30" t="s">
        <v>36</v>
      </c>
      <c r="C90" s="37">
        <f>Assumptions!$E$24</f>
        <v>65</v>
      </c>
      <c r="D90" s="32" t="s">
        <v>7</v>
      </c>
      <c r="E90" s="28">
        <f>Assumptions!$C$37</f>
        <v>921</v>
      </c>
      <c r="F90" s="32" t="s">
        <v>6</v>
      </c>
      <c r="G90" s="28"/>
      <c r="H90" s="28"/>
      <c r="I90" s="33">
        <f>A90*C90*E90</f>
        <v>0</v>
      </c>
      <c r="J90"/>
      <c r="K90" s="29">
        <f>N78*M79*Assumptions!$H$13</f>
        <v>0</v>
      </c>
      <c r="L90" s="30" t="s">
        <v>36</v>
      </c>
      <c r="M90" s="37">
        <f>Assumptions!$E$24</f>
        <v>65</v>
      </c>
      <c r="N90" s="32" t="s">
        <v>7</v>
      </c>
      <c r="O90" s="28">
        <f>Assumptions!$C$38</f>
        <v>925</v>
      </c>
      <c r="P90" s="32" t="s">
        <v>6</v>
      </c>
      <c r="Q90" s="28"/>
      <c r="R90" s="28"/>
      <c r="S90" s="33">
        <f>K90*M90*O90</f>
        <v>0</v>
      </c>
      <c r="T90"/>
      <c r="U90" s="29">
        <f>X78*W79*Assumptions!$H$13</f>
        <v>0</v>
      </c>
      <c r="V90" s="30" t="s">
        <v>36</v>
      </c>
      <c r="W90" s="37">
        <f>Assumptions!$E$24</f>
        <v>65</v>
      </c>
      <c r="X90" s="32" t="s">
        <v>7</v>
      </c>
      <c r="Y90" s="28">
        <f>Assumptions!$C$39</f>
        <v>948</v>
      </c>
      <c r="Z90" s="32" t="s">
        <v>6</v>
      </c>
      <c r="AA90" s="28"/>
      <c r="AB90" s="28"/>
      <c r="AC90" s="33">
        <f>U90*W90*Y90</f>
        <v>0</v>
      </c>
      <c r="AD90"/>
      <c r="AE90" s="29">
        <f>AH78*AG79*Assumptions!$H$13</f>
        <v>0</v>
      </c>
      <c r="AF90" s="30" t="s">
        <v>36</v>
      </c>
      <c r="AG90" s="37">
        <f>Assumptions!$E$24</f>
        <v>65</v>
      </c>
      <c r="AH90" s="32" t="s">
        <v>7</v>
      </c>
      <c r="AI90" s="28">
        <f>Assumptions!$C$40</f>
        <v>1027</v>
      </c>
      <c r="AJ90" s="32" t="s">
        <v>6</v>
      </c>
      <c r="AK90" s="28"/>
      <c r="AL90" s="28"/>
      <c r="AM90" s="33">
        <f>AE90*AG90*AI90</f>
        <v>0</v>
      </c>
    </row>
    <row r="91" spans="1:39" ht="11.1" customHeight="1">
      <c r="A91" s="29">
        <f>D78*C79*Assumptions!$H$14</f>
        <v>70</v>
      </c>
      <c r="B91" s="30" t="s">
        <v>90</v>
      </c>
      <c r="C91" s="37">
        <f>Assumptions!$E$25</f>
        <v>83</v>
      </c>
      <c r="D91" s="32" t="s">
        <v>7</v>
      </c>
      <c r="E91" s="28">
        <f>Assumptions!$D$37</f>
        <v>891</v>
      </c>
      <c r="F91" s="32" t="s">
        <v>6</v>
      </c>
      <c r="G91" s="28"/>
      <c r="H91" s="28"/>
      <c r="I91" s="33">
        <f>A91*C91*E91</f>
        <v>5176710</v>
      </c>
      <c r="J91"/>
      <c r="K91" s="29">
        <f>N78*M79*Assumptions!$H$14</f>
        <v>140</v>
      </c>
      <c r="L91" s="30" t="s">
        <v>90</v>
      </c>
      <c r="M91" s="37">
        <f>Assumptions!$E$25</f>
        <v>83</v>
      </c>
      <c r="N91" s="32" t="s">
        <v>7</v>
      </c>
      <c r="O91" s="28">
        <f>Assumptions!$D$38</f>
        <v>898</v>
      </c>
      <c r="P91" s="32" t="s">
        <v>6</v>
      </c>
      <c r="Q91" s="28"/>
      <c r="R91" s="28"/>
      <c r="S91" s="33">
        <f>K91*M91*O91</f>
        <v>10434760</v>
      </c>
      <c r="T91"/>
      <c r="U91" s="29">
        <f>X78*W79*Assumptions!$H$14</f>
        <v>210</v>
      </c>
      <c r="V91" s="30" t="s">
        <v>90</v>
      </c>
      <c r="W91" s="37">
        <f>Assumptions!$E$25</f>
        <v>83</v>
      </c>
      <c r="X91" s="32" t="s">
        <v>7</v>
      </c>
      <c r="Y91" s="28">
        <f>Assumptions!$D$39</f>
        <v>932</v>
      </c>
      <c r="Z91" s="32" t="s">
        <v>6</v>
      </c>
      <c r="AA91" s="28"/>
      <c r="AB91" s="28"/>
      <c r="AC91" s="33">
        <f>U91*W91*Y91</f>
        <v>16244760</v>
      </c>
      <c r="AD91"/>
      <c r="AE91" s="29">
        <f>AH78*AG79*Assumptions!$H$14</f>
        <v>280</v>
      </c>
      <c r="AF91" s="30" t="s">
        <v>90</v>
      </c>
      <c r="AG91" s="37">
        <f>Assumptions!$E$25</f>
        <v>83</v>
      </c>
      <c r="AH91" s="32" t="s">
        <v>7</v>
      </c>
      <c r="AI91" s="28">
        <f>Assumptions!$D$40</f>
        <v>1057</v>
      </c>
      <c r="AJ91" s="32" t="s">
        <v>6</v>
      </c>
      <c r="AK91" s="28"/>
      <c r="AL91" s="28"/>
      <c r="AM91" s="33">
        <f>AE91*AG91*AI91</f>
        <v>24564680</v>
      </c>
    </row>
    <row r="92" spans="1:39" ht="11.1" customHeight="1">
      <c r="A92" s="29">
        <f>D78*C79*Assumptions!$H$15</f>
        <v>30</v>
      </c>
      <c r="B92" s="30" t="s">
        <v>91</v>
      </c>
      <c r="C92" s="37">
        <f>Assumptions!$E$26</f>
        <v>94</v>
      </c>
      <c r="D92" s="32" t="s">
        <v>7</v>
      </c>
      <c r="E92" s="28">
        <f>Assumptions!$E$37</f>
        <v>848</v>
      </c>
      <c r="F92" s="32" t="s">
        <v>6</v>
      </c>
      <c r="G92" s="28"/>
      <c r="H92" s="28"/>
      <c r="I92" s="33">
        <f>A92*C92*E92</f>
        <v>2391360</v>
      </c>
      <c r="J92"/>
      <c r="K92" s="29">
        <f>N78*M79*Assumptions!$H$15</f>
        <v>60</v>
      </c>
      <c r="L92" s="30" t="s">
        <v>91</v>
      </c>
      <c r="M92" s="37">
        <f>Assumptions!$E$26</f>
        <v>94</v>
      </c>
      <c r="N92" s="32" t="s">
        <v>7</v>
      </c>
      <c r="O92" s="28">
        <f>Assumptions!$E$38</f>
        <v>855</v>
      </c>
      <c r="P92" s="32" t="s">
        <v>6</v>
      </c>
      <c r="Q92" s="28"/>
      <c r="R92" s="28"/>
      <c r="S92" s="33">
        <f>K92*M92*O92</f>
        <v>4822200</v>
      </c>
      <c r="T92"/>
      <c r="U92" s="29">
        <f>X78*W79*Assumptions!$H$15</f>
        <v>90</v>
      </c>
      <c r="V92" s="30" t="s">
        <v>91</v>
      </c>
      <c r="W92" s="37">
        <f>Assumptions!$E$26</f>
        <v>94</v>
      </c>
      <c r="X92" s="32" t="s">
        <v>7</v>
      </c>
      <c r="Y92" s="28">
        <f>Assumptions!$E$39</f>
        <v>886</v>
      </c>
      <c r="Z92" s="32" t="s">
        <v>6</v>
      </c>
      <c r="AA92" s="28"/>
      <c r="AB92" s="28"/>
      <c r="AC92" s="33">
        <f>U92*W92*Y92</f>
        <v>7495560</v>
      </c>
      <c r="AD92"/>
      <c r="AE92" s="29">
        <f>AH78*AG79*Assumptions!$H$15</f>
        <v>120</v>
      </c>
      <c r="AF92" s="30" t="s">
        <v>91</v>
      </c>
      <c r="AG92" s="37">
        <f>Assumptions!$E$26</f>
        <v>94</v>
      </c>
      <c r="AH92" s="32" t="s">
        <v>7</v>
      </c>
      <c r="AI92" s="28">
        <f>Assumptions!$E$40</f>
        <v>1001</v>
      </c>
      <c r="AJ92" s="32" t="s">
        <v>6</v>
      </c>
      <c r="AK92" s="28"/>
      <c r="AL92" s="28"/>
      <c r="AM92" s="33">
        <f>AE92*AG92*AI92</f>
        <v>11291280</v>
      </c>
    </row>
    <row r="93" spans="1:39" ht="11.1" customHeight="1">
      <c r="A93" s="38"/>
      <c r="B93" s="26"/>
      <c r="C93" s="39"/>
      <c r="D93" s="34"/>
      <c r="E93" s="26"/>
      <c r="F93" s="34"/>
      <c r="G93" s="26"/>
      <c r="H93" s="26"/>
      <c r="I93" s="40"/>
      <c r="K93" s="38"/>
      <c r="L93" s="26"/>
      <c r="M93" s="39"/>
      <c r="N93" s="34"/>
      <c r="O93" s="26"/>
      <c r="P93" s="34"/>
      <c r="Q93" s="26"/>
      <c r="R93" s="26"/>
      <c r="S93" s="40"/>
      <c r="U93" s="38"/>
      <c r="V93" s="26"/>
      <c r="W93" s="39"/>
      <c r="X93" s="34"/>
      <c r="Y93" s="26"/>
      <c r="Z93" s="34"/>
      <c r="AA93" s="26"/>
      <c r="AB93" s="26"/>
      <c r="AC93" s="40"/>
      <c r="AE93" s="38"/>
      <c r="AF93" s="26"/>
      <c r="AG93" s="39"/>
      <c r="AH93" s="34"/>
      <c r="AI93" s="26"/>
      <c r="AJ93" s="34"/>
      <c r="AK93" s="26"/>
      <c r="AL93" s="26"/>
      <c r="AM93" s="40"/>
    </row>
    <row r="94" spans="1:39" ht="11.1" customHeight="1">
      <c r="A94" s="17" t="s">
        <v>92</v>
      </c>
      <c r="B94" s="17"/>
      <c r="C94" s="20">
        <f>Assumptions!$E$18</f>
        <v>0</v>
      </c>
      <c r="D94" s="32" t="s">
        <v>89</v>
      </c>
      <c r="E94" s="28"/>
      <c r="F94" s="32"/>
      <c r="G94" s="28"/>
      <c r="H94" s="28"/>
      <c r="I94" s="36"/>
      <c r="K94" s="17" t="s">
        <v>92</v>
      </c>
      <c r="L94" s="17"/>
      <c r="M94" s="20">
        <f>Assumptions!$E$18</f>
        <v>0</v>
      </c>
      <c r="N94" s="32" t="s">
        <v>89</v>
      </c>
      <c r="O94" s="28"/>
      <c r="P94" s="32"/>
      <c r="Q94" s="28"/>
      <c r="R94" s="28"/>
      <c r="S94" s="36"/>
      <c r="U94" s="17" t="s">
        <v>92</v>
      </c>
      <c r="V94" s="17"/>
      <c r="W94" s="20">
        <f>Assumptions!$E$18</f>
        <v>0</v>
      </c>
      <c r="X94" s="32" t="s">
        <v>89</v>
      </c>
      <c r="Y94" s="28"/>
      <c r="Z94" s="32"/>
      <c r="AA94" s="28"/>
      <c r="AB94" s="28"/>
      <c r="AC94" s="36"/>
      <c r="AE94" s="17" t="s">
        <v>92</v>
      </c>
      <c r="AF94" s="17"/>
      <c r="AG94" s="20">
        <f>Assumptions!$E$18</f>
        <v>0</v>
      </c>
      <c r="AH94" s="32" t="s">
        <v>89</v>
      </c>
      <c r="AI94" s="28"/>
      <c r="AJ94" s="32"/>
      <c r="AK94" s="28"/>
      <c r="AL94" s="28"/>
      <c r="AM94" s="36"/>
    </row>
    <row r="95" spans="1:39" ht="11.1" customHeight="1">
      <c r="A95" s="29">
        <f>D78*E79*0.3</f>
        <v>0</v>
      </c>
      <c r="B95" s="30" t="s">
        <v>36</v>
      </c>
      <c r="C95" s="37">
        <f>C83</f>
        <v>61</v>
      </c>
      <c r="D95" s="32" t="s">
        <v>93</v>
      </c>
      <c r="E95" s="28">
        <f>E83*C94</f>
        <v>0</v>
      </c>
      <c r="F95" s="32" t="s">
        <v>6</v>
      </c>
      <c r="G95" s="28"/>
      <c r="H95" s="28"/>
      <c r="I95" s="33">
        <f>A95*C95*E95</f>
        <v>0</v>
      </c>
      <c r="K95" s="29">
        <f>N78*O79*0.3</f>
        <v>0</v>
      </c>
      <c r="L95" s="30" t="s">
        <v>36</v>
      </c>
      <c r="M95" s="37">
        <f>M83</f>
        <v>61</v>
      </c>
      <c r="N95" s="32" t="s">
        <v>93</v>
      </c>
      <c r="O95" s="28">
        <f>O83*M94</f>
        <v>0</v>
      </c>
      <c r="P95" s="32" t="s">
        <v>6</v>
      </c>
      <c r="Q95" s="28"/>
      <c r="R95" s="28"/>
      <c r="S95" s="33">
        <f>K95*M95*O95</f>
        <v>0</v>
      </c>
      <c r="U95" s="29">
        <f>X78*Y79*0.3</f>
        <v>0</v>
      </c>
      <c r="V95" s="30" t="s">
        <v>36</v>
      </c>
      <c r="W95" s="37">
        <f>W83</f>
        <v>61</v>
      </c>
      <c r="X95" s="32" t="s">
        <v>93</v>
      </c>
      <c r="Y95" s="28">
        <f>Y83*W94</f>
        <v>0</v>
      </c>
      <c r="Z95" s="32" t="s">
        <v>6</v>
      </c>
      <c r="AA95" s="28"/>
      <c r="AB95" s="28"/>
      <c r="AC95" s="33">
        <f>U95*W95*Y95</f>
        <v>0</v>
      </c>
      <c r="AE95" s="29">
        <f>AH78*AI79*0.3</f>
        <v>0</v>
      </c>
      <c r="AF95" s="30" t="s">
        <v>36</v>
      </c>
      <c r="AG95" s="37">
        <f>AG83</f>
        <v>61</v>
      </c>
      <c r="AH95" s="32" t="s">
        <v>93</v>
      </c>
      <c r="AI95" s="28">
        <f>AI83*AG94</f>
        <v>0</v>
      </c>
      <c r="AJ95" s="32" t="s">
        <v>6</v>
      </c>
      <c r="AK95" s="28"/>
      <c r="AL95" s="28"/>
      <c r="AM95" s="33">
        <f>AE95*AG95*AI95</f>
        <v>0</v>
      </c>
    </row>
    <row r="96" spans="1:39" ht="11.1" customHeight="1">
      <c r="A96" s="29">
        <f>D78*E79*0.5</f>
        <v>0</v>
      </c>
      <c r="B96" s="30" t="s">
        <v>90</v>
      </c>
      <c r="C96" s="37">
        <f>C84</f>
        <v>75</v>
      </c>
      <c r="D96" s="32" t="s">
        <v>93</v>
      </c>
      <c r="E96" s="28">
        <f>E84*C94</f>
        <v>0</v>
      </c>
      <c r="F96" s="32" t="s">
        <v>6</v>
      </c>
      <c r="G96" s="28"/>
      <c r="H96" s="28"/>
      <c r="I96" s="33">
        <f>A96*C96*E96</f>
        <v>0</v>
      </c>
      <c r="K96" s="29">
        <f>N78*O79*0.5</f>
        <v>0</v>
      </c>
      <c r="L96" s="30" t="s">
        <v>90</v>
      </c>
      <c r="M96" s="37">
        <f>M84</f>
        <v>75</v>
      </c>
      <c r="N96" s="32" t="s">
        <v>93</v>
      </c>
      <c r="O96" s="28">
        <f>O84*M94</f>
        <v>0</v>
      </c>
      <c r="P96" s="32" t="s">
        <v>6</v>
      </c>
      <c r="Q96" s="28"/>
      <c r="R96" s="28"/>
      <c r="S96" s="33">
        <f>K96*M96*O96</f>
        <v>0</v>
      </c>
      <c r="U96" s="29">
        <f>X78*Y79*0.5</f>
        <v>0</v>
      </c>
      <c r="V96" s="30" t="s">
        <v>90</v>
      </c>
      <c r="W96" s="37">
        <f>W84</f>
        <v>75</v>
      </c>
      <c r="X96" s="32" t="s">
        <v>93</v>
      </c>
      <c r="Y96" s="28">
        <f>Y84*W94</f>
        <v>0</v>
      </c>
      <c r="Z96" s="32" t="s">
        <v>6</v>
      </c>
      <c r="AA96" s="28"/>
      <c r="AB96" s="28"/>
      <c r="AC96" s="33">
        <f>U96*W96*Y96</f>
        <v>0</v>
      </c>
      <c r="AE96" s="29">
        <f>AH78*AI79*0.5</f>
        <v>0</v>
      </c>
      <c r="AF96" s="30" t="s">
        <v>90</v>
      </c>
      <c r="AG96" s="37">
        <f>AG84</f>
        <v>75</v>
      </c>
      <c r="AH96" s="32" t="s">
        <v>93</v>
      </c>
      <c r="AI96" s="28">
        <f>AI84*AG94</f>
        <v>0</v>
      </c>
      <c r="AJ96" s="32" t="s">
        <v>6</v>
      </c>
      <c r="AK96" s="28"/>
      <c r="AL96" s="28"/>
      <c r="AM96" s="33">
        <f>AE96*AG96*AI96</f>
        <v>0</v>
      </c>
    </row>
    <row r="97" spans="1:39" ht="11.1" customHeight="1">
      <c r="A97" s="29">
        <f>D78*E79*0.2</f>
        <v>0</v>
      </c>
      <c r="B97" s="30" t="s">
        <v>91</v>
      </c>
      <c r="C97" s="37">
        <f>C85</f>
        <v>88</v>
      </c>
      <c r="D97" s="32" t="s">
        <v>93</v>
      </c>
      <c r="E97" s="28">
        <f>E85*C94</f>
        <v>0</v>
      </c>
      <c r="F97" s="32" t="s">
        <v>6</v>
      </c>
      <c r="G97" s="28"/>
      <c r="H97" s="28"/>
      <c r="I97" s="33">
        <f>A97*C97*E97</f>
        <v>0</v>
      </c>
      <c r="K97" s="29">
        <f>N78*O79*0.2</f>
        <v>0</v>
      </c>
      <c r="L97" s="30" t="s">
        <v>91</v>
      </c>
      <c r="M97" s="37">
        <f>M85</f>
        <v>88</v>
      </c>
      <c r="N97" s="32" t="s">
        <v>93</v>
      </c>
      <c r="O97" s="28">
        <f>O85*M94</f>
        <v>0</v>
      </c>
      <c r="P97" s="32" t="s">
        <v>6</v>
      </c>
      <c r="Q97" s="28"/>
      <c r="R97" s="28"/>
      <c r="S97" s="33">
        <f>K97*M97*O97</f>
        <v>0</v>
      </c>
      <c r="U97" s="29">
        <f>X78*Y79*0.2</f>
        <v>0</v>
      </c>
      <c r="V97" s="30" t="s">
        <v>91</v>
      </c>
      <c r="W97" s="37">
        <f>W85</f>
        <v>88</v>
      </c>
      <c r="X97" s="32" t="s">
        <v>93</v>
      </c>
      <c r="Y97" s="28">
        <f>Y85*W94</f>
        <v>0</v>
      </c>
      <c r="Z97" s="32" t="s">
        <v>6</v>
      </c>
      <c r="AA97" s="28"/>
      <c r="AB97" s="28"/>
      <c r="AC97" s="33">
        <f>U97*W97*Y97</f>
        <v>0</v>
      </c>
      <c r="AE97" s="29">
        <f>AH78*AI79*0.2</f>
        <v>0</v>
      </c>
      <c r="AF97" s="30" t="s">
        <v>91</v>
      </c>
      <c r="AG97" s="37">
        <f>AG85</f>
        <v>88</v>
      </c>
      <c r="AH97" s="32" t="s">
        <v>93</v>
      </c>
      <c r="AI97" s="28">
        <f>AI85*AG94</f>
        <v>0</v>
      </c>
      <c r="AJ97" s="32" t="s">
        <v>6</v>
      </c>
      <c r="AK97" s="28"/>
      <c r="AL97" s="28"/>
      <c r="AM97" s="33">
        <f>AE97*AG97*AI97</f>
        <v>0</v>
      </c>
    </row>
    <row r="98" spans="1:39" ht="11.1" customHeight="1">
      <c r="A98" s="38"/>
      <c r="B98" s="26"/>
      <c r="C98" s="39"/>
      <c r="D98" s="34"/>
      <c r="E98" s="26"/>
      <c r="F98" s="34"/>
      <c r="G98" s="26"/>
      <c r="H98" s="26"/>
      <c r="I98" s="40"/>
      <c r="K98" s="38"/>
      <c r="L98" s="26"/>
      <c r="M98" s="39"/>
      <c r="N98" s="34"/>
      <c r="O98" s="26"/>
      <c r="P98" s="34"/>
      <c r="Q98" s="26"/>
      <c r="R98" s="26"/>
      <c r="S98" s="40"/>
      <c r="U98" s="38"/>
      <c r="V98" s="26"/>
      <c r="W98" s="39"/>
      <c r="X98" s="34"/>
      <c r="Y98" s="26"/>
      <c r="Z98" s="34"/>
      <c r="AA98" s="26"/>
      <c r="AB98" s="26"/>
      <c r="AC98" s="40"/>
      <c r="AE98" s="38"/>
      <c r="AF98" s="26"/>
      <c r="AG98" s="39"/>
      <c r="AH98" s="34"/>
      <c r="AI98" s="26"/>
      <c r="AJ98" s="34"/>
      <c r="AK98" s="26"/>
      <c r="AL98" s="26"/>
      <c r="AM98" s="40"/>
    </row>
    <row r="99" spans="1:39" ht="11.1" customHeight="1">
      <c r="A99" s="17" t="s">
        <v>94</v>
      </c>
      <c r="B99" s="17"/>
      <c r="C99" s="20">
        <f>Assumptions!$F$18</f>
        <v>0</v>
      </c>
      <c r="D99" s="32" t="s">
        <v>89</v>
      </c>
      <c r="E99" s="28"/>
      <c r="F99" s="32"/>
      <c r="G99" s="28"/>
      <c r="H99" s="28"/>
      <c r="I99" s="36"/>
      <c r="K99" s="17" t="s">
        <v>94</v>
      </c>
      <c r="L99" s="17"/>
      <c r="M99" s="20">
        <f>Assumptions!$F$18</f>
        <v>0</v>
      </c>
      <c r="N99" s="32" t="s">
        <v>89</v>
      </c>
      <c r="O99" s="28"/>
      <c r="P99" s="32"/>
      <c r="Q99" s="28"/>
      <c r="R99" s="28"/>
      <c r="S99" s="36"/>
      <c r="U99" s="17" t="s">
        <v>94</v>
      </c>
      <c r="V99" s="17"/>
      <c r="W99" s="20">
        <f>Assumptions!$F$18</f>
        <v>0</v>
      </c>
      <c r="X99" s="32" t="s">
        <v>89</v>
      </c>
      <c r="Y99" s="28"/>
      <c r="Z99" s="32"/>
      <c r="AA99" s="28"/>
      <c r="AB99" s="28"/>
      <c r="AC99" s="36"/>
      <c r="AE99" s="17" t="s">
        <v>94</v>
      </c>
      <c r="AF99" s="17"/>
      <c r="AG99" s="20">
        <f>Assumptions!$F$18</f>
        <v>0</v>
      </c>
      <c r="AH99" s="32" t="s">
        <v>89</v>
      </c>
      <c r="AI99" s="28"/>
      <c r="AJ99" s="32"/>
      <c r="AK99" s="28"/>
      <c r="AL99" s="28"/>
      <c r="AM99" s="36"/>
    </row>
    <row r="100" spans="1:39" ht="11.1" customHeight="1">
      <c r="A100" s="29">
        <f>D78*G79*0.3</f>
        <v>0</v>
      </c>
      <c r="B100" s="30" t="s">
        <v>36</v>
      </c>
      <c r="C100" s="37">
        <f>C83</f>
        <v>61</v>
      </c>
      <c r="D100" s="32" t="s">
        <v>93</v>
      </c>
      <c r="E100" s="28">
        <f>E83*C99</f>
        <v>0</v>
      </c>
      <c r="F100" s="32" t="s">
        <v>6</v>
      </c>
      <c r="G100" s="28"/>
      <c r="H100" s="28"/>
      <c r="I100" s="33">
        <f>A100*C100*E100</f>
        <v>0</v>
      </c>
      <c r="K100" s="29">
        <f>N78*Q79*0.3</f>
        <v>0</v>
      </c>
      <c r="L100" s="30" t="s">
        <v>36</v>
      </c>
      <c r="M100" s="37">
        <f>M83</f>
        <v>61</v>
      </c>
      <c r="N100" s="32" t="s">
        <v>93</v>
      </c>
      <c r="O100" s="28">
        <f>O83*M99</f>
        <v>0</v>
      </c>
      <c r="P100" s="32" t="s">
        <v>6</v>
      </c>
      <c r="Q100" s="28"/>
      <c r="R100" s="28"/>
      <c r="S100" s="33">
        <f>K100*M100*O100</f>
        <v>0</v>
      </c>
      <c r="U100" s="29">
        <f>X78*AA79*0.3</f>
        <v>0</v>
      </c>
      <c r="V100" s="30" t="s">
        <v>36</v>
      </c>
      <c r="W100" s="37">
        <f>W83</f>
        <v>61</v>
      </c>
      <c r="X100" s="32" t="s">
        <v>93</v>
      </c>
      <c r="Y100" s="28">
        <f>Y83*W99</f>
        <v>0</v>
      </c>
      <c r="Z100" s="32" t="s">
        <v>6</v>
      </c>
      <c r="AA100" s="28"/>
      <c r="AB100" s="28"/>
      <c r="AC100" s="33">
        <f>U100*W100*Y100</f>
        <v>0</v>
      </c>
      <c r="AE100" s="29">
        <f>AH78*AK79*0.3</f>
        <v>0</v>
      </c>
      <c r="AF100" s="30" t="s">
        <v>36</v>
      </c>
      <c r="AG100" s="37">
        <f>AG83</f>
        <v>61</v>
      </c>
      <c r="AH100" s="32" t="s">
        <v>93</v>
      </c>
      <c r="AI100" s="28">
        <f>AI83*AG99</f>
        <v>0</v>
      </c>
      <c r="AJ100" s="32" t="s">
        <v>6</v>
      </c>
      <c r="AK100" s="28"/>
      <c r="AL100" s="28"/>
      <c r="AM100" s="33">
        <f>AE100*AG100*AI100</f>
        <v>0</v>
      </c>
    </row>
    <row r="101" spans="1:39" ht="11.1" customHeight="1">
      <c r="A101" s="29">
        <f>D78*G79*0.5</f>
        <v>0</v>
      </c>
      <c r="B101" s="30" t="s">
        <v>90</v>
      </c>
      <c r="C101" s="37">
        <f>C84</f>
        <v>75</v>
      </c>
      <c r="D101" s="32" t="s">
        <v>93</v>
      </c>
      <c r="E101" s="28">
        <f>E84*C99</f>
        <v>0</v>
      </c>
      <c r="F101" s="32" t="s">
        <v>6</v>
      </c>
      <c r="G101" s="28"/>
      <c r="H101" s="28"/>
      <c r="I101" s="33">
        <f>A101*C101*E101</f>
        <v>0</v>
      </c>
      <c r="K101" s="29">
        <f>N78*Q79*0.5</f>
        <v>0</v>
      </c>
      <c r="L101" s="30" t="s">
        <v>90</v>
      </c>
      <c r="M101" s="37">
        <f>M84</f>
        <v>75</v>
      </c>
      <c r="N101" s="32" t="s">
        <v>93</v>
      </c>
      <c r="O101" s="28">
        <f>O84*M99</f>
        <v>0</v>
      </c>
      <c r="P101" s="32" t="s">
        <v>6</v>
      </c>
      <c r="Q101" s="28"/>
      <c r="R101" s="28"/>
      <c r="S101" s="33">
        <f>K101*M101*O101</f>
        <v>0</v>
      </c>
      <c r="U101" s="29">
        <f>X78*AA79*0.5</f>
        <v>0</v>
      </c>
      <c r="V101" s="30" t="s">
        <v>90</v>
      </c>
      <c r="W101" s="37">
        <f>W84</f>
        <v>75</v>
      </c>
      <c r="X101" s="32" t="s">
        <v>93</v>
      </c>
      <c r="Y101" s="28">
        <f>Y84*W99</f>
        <v>0</v>
      </c>
      <c r="Z101" s="32" t="s">
        <v>6</v>
      </c>
      <c r="AA101" s="28"/>
      <c r="AB101" s="28"/>
      <c r="AC101" s="33">
        <f>U101*W101*Y101</f>
        <v>0</v>
      </c>
      <c r="AE101" s="29">
        <f>AH78*AK79*0.5</f>
        <v>0</v>
      </c>
      <c r="AF101" s="30" t="s">
        <v>90</v>
      </c>
      <c r="AG101" s="37">
        <f>AG84</f>
        <v>75</v>
      </c>
      <c r="AH101" s="32" t="s">
        <v>93</v>
      </c>
      <c r="AI101" s="28">
        <f>AI84*AG99</f>
        <v>0</v>
      </c>
      <c r="AJ101" s="32" t="s">
        <v>6</v>
      </c>
      <c r="AK101" s="28"/>
      <c r="AL101" s="28"/>
      <c r="AM101" s="33">
        <f>AE101*AG101*AI101</f>
        <v>0</v>
      </c>
    </row>
    <row r="102" spans="1:39" ht="11.1" customHeight="1">
      <c r="A102" s="29">
        <f>D78*G79*0.2</f>
        <v>0</v>
      </c>
      <c r="B102" s="30" t="s">
        <v>91</v>
      </c>
      <c r="C102" s="37">
        <f>C85</f>
        <v>88</v>
      </c>
      <c r="D102" s="32" t="s">
        <v>93</v>
      </c>
      <c r="E102" s="28">
        <f>E85*C99</f>
        <v>0</v>
      </c>
      <c r="F102" s="32" t="s">
        <v>6</v>
      </c>
      <c r="G102" s="28"/>
      <c r="H102" s="28"/>
      <c r="I102" s="33">
        <f>A102*C102*E102</f>
        <v>0</v>
      </c>
      <c r="K102" s="29">
        <f>N78*Q79*0.2</f>
        <v>0</v>
      </c>
      <c r="L102" s="30" t="s">
        <v>91</v>
      </c>
      <c r="M102" s="37">
        <f>M85</f>
        <v>88</v>
      </c>
      <c r="N102" s="32" t="s">
        <v>93</v>
      </c>
      <c r="O102" s="28">
        <f>O85*M99</f>
        <v>0</v>
      </c>
      <c r="P102" s="32" t="s">
        <v>6</v>
      </c>
      <c r="Q102" s="28"/>
      <c r="R102" s="28"/>
      <c r="S102" s="33">
        <f>K102*M102*O102</f>
        <v>0</v>
      </c>
      <c r="U102" s="29">
        <f>X78*AA79*0.2</f>
        <v>0</v>
      </c>
      <c r="V102" s="30" t="s">
        <v>91</v>
      </c>
      <c r="W102" s="37">
        <f>W85</f>
        <v>88</v>
      </c>
      <c r="X102" s="32" t="s">
        <v>93</v>
      </c>
      <c r="Y102" s="28">
        <f>Y85*W99</f>
        <v>0</v>
      </c>
      <c r="Z102" s="32" t="s">
        <v>6</v>
      </c>
      <c r="AA102" s="28"/>
      <c r="AB102" s="28"/>
      <c r="AC102" s="33">
        <f>U102*W102*Y102</f>
        <v>0</v>
      </c>
      <c r="AE102" s="29">
        <f>AH78*AK79*0.2</f>
        <v>0</v>
      </c>
      <c r="AF102" s="30" t="s">
        <v>91</v>
      </c>
      <c r="AG102" s="37">
        <f>AG85</f>
        <v>88</v>
      </c>
      <c r="AH102" s="32" t="s">
        <v>93</v>
      </c>
      <c r="AI102" s="28">
        <f>AI85*AG99</f>
        <v>0</v>
      </c>
      <c r="AJ102" s="32" t="s">
        <v>6</v>
      </c>
      <c r="AK102" s="28"/>
      <c r="AL102" s="28"/>
      <c r="AM102" s="33">
        <f>AE102*AG102*AI102</f>
        <v>0</v>
      </c>
    </row>
    <row r="103" spans="1:39" ht="11.1" customHeight="1">
      <c r="A103" s="41">
        <f>SUM(A83:A102)</f>
        <v>1000</v>
      </c>
      <c r="B103" s="34" t="s">
        <v>95</v>
      </c>
      <c r="C103" s="26"/>
      <c r="D103" s="26"/>
      <c r="E103" s="26"/>
      <c r="F103" s="26"/>
      <c r="G103" s="26"/>
      <c r="H103" s="26"/>
      <c r="I103" s="35"/>
      <c r="K103" s="41">
        <f>SUM(K83:K102)</f>
        <v>1000</v>
      </c>
      <c r="L103" s="34" t="s">
        <v>95</v>
      </c>
      <c r="M103" s="26"/>
      <c r="N103" s="26"/>
      <c r="O103" s="26"/>
      <c r="P103" s="26"/>
      <c r="Q103" s="26"/>
      <c r="R103" s="26"/>
      <c r="S103" s="35"/>
      <c r="U103" s="41">
        <f>SUM(U83:U102)</f>
        <v>1000</v>
      </c>
      <c r="V103" s="34" t="s">
        <v>95</v>
      </c>
      <c r="W103" s="26"/>
      <c r="X103" s="26"/>
      <c r="Y103" s="26"/>
      <c r="Z103" s="26"/>
      <c r="AA103" s="26"/>
      <c r="AB103" s="26"/>
      <c r="AC103" s="35"/>
      <c r="AE103" s="41">
        <f>SUM(AE83:AE102)</f>
        <v>1000</v>
      </c>
      <c r="AF103" s="34" t="s">
        <v>95</v>
      </c>
      <c r="AG103" s="26"/>
      <c r="AH103" s="26"/>
      <c r="AI103" s="26"/>
      <c r="AJ103" s="26"/>
      <c r="AK103" s="26"/>
      <c r="AL103" s="26"/>
      <c r="AM103" s="35"/>
    </row>
    <row r="104" spans="1:39" ht="11.1" customHeight="1">
      <c r="A104" s="25" t="s">
        <v>4</v>
      </c>
      <c r="B104" s="26"/>
      <c r="C104" s="26"/>
      <c r="D104" s="26"/>
      <c r="E104" s="26"/>
      <c r="F104" s="26"/>
      <c r="G104" s="26"/>
      <c r="H104" s="26"/>
      <c r="I104" s="42">
        <f>SUM(I83:I102)</f>
        <v>181225320</v>
      </c>
      <c r="K104" s="25" t="s">
        <v>4</v>
      </c>
      <c r="L104" s="26"/>
      <c r="M104" s="26"/>
      <c r="N104" s="26"/>
      <c r="O104" s="26"/>
      <c r="P104" s="26"/>
      <c r="Q104" s="26"/>
      <c r="R104" s="26"/>
      <c r="S104" s="42">
        <f>SUM(S83:S102)</f>
        <v>169618960</v>
      </c>
      <c r="U104" s="25" t="s">
        <v>4</v>
      </c>
      <c r="V104" s="26"/>
      <c r="W104" s="26"/>
      <c r="X104" s="26"/>
      <c r="Y104" s="26"/>
      <c r="Z104" s="26"/>
      <c r="AA104" s="26"/>
      <c r="AB104" s="26"/>
      <c r="AC104" s="42">
        <f>SUM(AC83:AC102)</f>
        <v>158807070</v>
      </c>
      <c r="AE104" s="25" t="s">
        <v>4</v>
      </c>
      <c r="AF104" s="26"/>
      <c r="AG104" s="26"/>
      <c r="AH104" s="26"/>
      <c r="AI104" s="26"/>
      <c r="AJ104" s="26"/>
      <c r="AK104" s="26"/>
      <c r="AL104" s="26"/>
      <c r="AM104" s="42">
        <f>SUM(AM83:AM102)</f>
        <v>157564460</v>
      </c>
    </row>
    <row r="105" ht="11.1" customHeight="1"/>
    <row r="106" spans="1:39" ht="11.1" customHeight="1">
      <c r="A106" s="25" t="s">
        <v>8</v>
      </c>
      <c r="B106" s="26"/>
      <c r="C106" s="26"/>
      <c r="D106" s="26"/>
      <c r="E106" s="26"/>
      <c r="F106" s="26"/>
      <c r="G106" s="26"/>
      <c r="H106" s="26"/>
      <c r="I106" s="40"/>
      <c r="K106" s="25" t="s">
        <v>8</v>
      </c>
      <c r="L106" s="26"/>
      <c r="M106" s="26"/>
      <c r="N106" s="26"/>
      <c r="O106" s="26"/>
      <c r="P106" s="26"/>
      <c r="Q106" s="26"/>
      <c r="R106" s="26"/>
      <c r="S106" s="40"/>
      <c r="U106" s="25" t="s">
        <v>8</v>
      </c>
      <c r="V106" s="26"/>
      <c r="W106" s="26"/>
      <c r="X106" s="26"/>
      <c r="Y106" s="26"/>
      <c r="Z106" s="26"/>
      <c r="AA106" s="26"/>
      <c r="AB106" s="26"/>
      <c r="AC106" s="40"/>
      <c r="AE106" s="25" t="s">
        <v>8</v>
      </c>
      <c r="AF106" s="26"/>
      <c r="AG106" s="26"/>
      <c r="AH106" s="26"/>
      <c r="AI106" s="26"/>
      <c r="AJ106" s="26"/>
      <c r="AK106" s="26"/>
      <c r="AL106" s="26"/>
      <c r="AM106" s="40"/>
    </row>
    <row r="107" spans="1:39" ht="11.1" customHeight="1">
      <c r="A107" s="16" t="s">
        <v>9</v>
      </c>
      <c r="B107" s="30" t="s">
        <v>36</v>
      </c>
      <c r="C107" s="43">
        <f>A83</f>
        <v>0</v>
      </c>
      <c r="D107" s="32" t="s">
        <v>96</v>
      </c>
      <c r="E107" s="18">
        <f>'Land Values'!D12</f>
        <v>7232.95</v>
      </c>
      <c r="F107" s="32" t="s">
        <v>97</v>
      </c>
      <c r="G107" s="28"/>
      <c r="H107" s="28"/>
      <c r="I107" s="33">
        <f>C107*E107</f>
        <v>0</v>
      </c>
      <c r="K107" s="16" t="s">
        <v>9</v>
      </c>
      <c r="L107" s="30" t="s">
        <v>36</v>
      </c>
      <c r="M107" s="43">
        <f>K83</f>
        <v>0</v>
      </c>
      <c r="N107" s="32" t="s">
        <v>96</v>
      </c>
      <c r="O107" s="18">
        <f>'Land Values'!E12</f>
        <v>7232.95</v>
      </c>
      <c r="P107" s="32" t="s">
        <v>97</v>
      </c>
      <c r="Q107" s="28"/>
      <c r="R107" s="28"/>
      <c r="S107" s="33">
        <f>M107*O107</f>
        <v>0</v>
      </c>
      <c r="U107" s="16" t="s">
        <v>9</v>
      </c>
      <c r="V107" s="30" t="s">
        <v>36</v>
      </c>
      <c r="W107" s="43">
        <f>U83</f>
        <v>0</v>
      </c>
      <c r="X107" s="32" t="s">
        <v>96</v>
      </c>
      <c r="Y107" s="18">
        <f>'Land Values'!F12</f>
        <v>7232.95</v>
      </c>
      <c r="Z107" s="32" t="s">
        <v>97</v>
      </c>
      <c r="AA107" s="28"/>
      <c r="AB107" s="28"/>
      <c r="AC107" s="33">
        <f>W107*Y107</f>
        <v>0</v>
      </c>
      <c r="AE107" s="16" t="s">
        <v>9</v>
      </c>
      <c r="AF107" s="30" t="s">
        <v>36</v>
      </c>
      <c r="AG107" s="43">
        <f>AE83</f>
        <v>0</v>
      </c>
      <c r="AH107" s="32" t="s">
        <v>96</v>
      </c>
      <c r="AI107" s="18">
        <f>'Land Values'!G12</f>
        <v>8401.735</v>
      </c>
      <c r="AJ107" s="32" t="s">
        <v>97</v>
      </c>
      <c r="AK107" s="28"/>
      <c r="AL107" s="28"/>
      <c r="AM107" s="33">
        <f>AG107*AI107</f>
        <v>0</v>
      </c>
    </row>
    <row r="108" spans="1:39" ht="11.1" customHeight="1">
      <c r="A108" s="17"/>
      <c r="B108" s="30" t="s">
        <v>98</v>
      </c>
      <c r="C108" s="43">
        <f>A84</f>
        <v>225</v>
      </c>
      <c r="D108" s="32" t="s">
        <v>96</v>
      </c>
      <c r="E108" s="18">
        <f>'Land Values'!D20</f>
        <v>18082.375</v>
      </c>
      <c r="F108" s="32" t="s">
        <v>97</v>
      </c>
      <c r="G108" s="28"/>
      <c r="H108" s="28"/>
      <c r="I108" s="33">
        <f>C108*E108</f>
        <v>4068534.375</v>
      </c>
      <c r="K108" s="17"/>
      <c r="L108" s="30" t="s">
        <v>98</v>
      </c>
      <c r="M108" s="43">
        <f>K84</f>
        <v>200</v>
      </c>
      <c r="N108" s="32" t="s">
        <v>96</v>
      </c>
      <c r="O108" s="18">
        <f>'Land Values'!E20</f>
        <v>18082.375</v>
      </c>
      <c r="P108" s="32" t="s">
        <v>97</v>
      </c>
      <c r="Q108" s="28"/>
      <c r="R108" s="28"/>
      <c r="S108" s="33">
        <f>M108*O108</f>
        <v>3616475</v>
      </c>
      <c r="U108" s="17"/>
      <c r="V108" s="30" t="s">
        <v>98</v>
      </c>
      <c r="W108" s="43">
        <f>U84</f>
        <v>175</v>
      </c>
      <c r="X108" s="32" t="s">
        <v>96</v>
      </c>
      <c r="Y108" s="18">
        <f>'Land Values'!F20</f>
        <v>18082.375</v>
      </c>
      <c r="Z108" s="32" t="s">
        <v>97</v>
      </c>
      <c r="AA108" s="28"/>
      <c r="AB108" s="28"/>
      <c r="AC108" s="33">
        <f>W108*Y108</f>
        <v>3164415.625</v>
      </c>
      <c r="AE108" s="17"/>
      <c r="AF108" s="30" t="s">
        <v>98</v>
      </c>
      <c r="AG108" s="43">
        <f>AE84</f>
        <v>150</v>
      </c>
      <c r="AH108" s="32" t="s">
        <v>96</v>
      </c>
      <c r="AI108" s="18">
        <f>'Land Values'!G20</f>
        <v>21004.3375</v>
      </c>
      <c r="AJ108" s="32" t="s">
        <v>97</v>
      </c>
      <c r="AK108" s="28"/>
      <c r="AL108" s="28"/>
      <c r="AM108" s="33">
        <f>AG108*AI108</f>
        <v>3150650.625</v>
      </c>
    </row>
    <row r="109" spans="1:39" ht="11.1" customHeight="1">
      <c r="A109" s="17"/>
      <c r="B109" s="30" t="s">
        <v>91</v>
      </c>
      <c r="C109" s="43">
        <f>A85</f>
        <v>360</v>
      </c>
      <c r="D109" s="32" t="s">
        <v>96</v>
      </c>
      <c r="E109" s="18">
        <f>'Land Values'!D28</f>
        <v>20665.571428571431</v>
      </c>
      <c r="F109" s="32" t="s">
        <v>97</v>
      </c>
      <c r="G109" s="28"/>
      <c r="H109" s="28"/>
      <c r="I109" s="33">
        <f>C109*E109</f>
        <v>7439605.7142857155</v>
      </c>
      <c r="K109" s="17"/>
      <c r="L109" s="30" t="s">
        <v>91</v>
      </c>
      <c r="M109" s="43">
        <f>K85</f>
        <v>320</v>
      </c>
      <c r="N109" s="32" t="s">
        <v>96</v>
      </c>
      <c r="O109" s="18">
        <f>'Land Values'!E28</f>
        <v>20665.571428571431</v>
      </c>
      <c r="P109" s="32" t="s">
        <v>97</v>
      </c>
      <c r="Q109" s="28"/>
      <c r="R109" s="28"/>
      <c r="S109" s="33">
        <f>M109*O109</f>
        <v>6612982.8571428582</v>
      </c>
      <c r="U109" s="17"/>
      <c r="V109" s="30" t="s">
        <v>91</v>
      </c>
      <c r="W109" s="43">
        <f>U85</f>
        <v>280</v>
      </c>
      <c r="X109" s="32" t="s">
        <v>96</v>
      </c>
      <c r="Y109" s="18">
        <f>'Land Values'!F28</f>
        <v>20665.571428571431</v>
      </c>
      <c r="Z109" s="32" t="s">
        <v>97</v>
      </c>
      <c r="AA109" s="28"/>
      <c r="AB109" s="28"/>
      <c r="AC109" s="33">
        <f>W109*Y109</f>
        <v>5786360.0000000009</v>
      </c>
      <c r="AE109" s="17"/>
      <c r="AF109" s="30" t="s">
        <v>91</v>
      </c>
      <c r="AG109" s="43">
        <f>AE85</f>
        <v>240</v>
      </c>
      <c r="AH109" s="32" t="s">
        <v>96</v>
      </c>
      <c r="AI109" s="18">
        <f>'Land Values'!G28</f>
        <v>24004.95714285714</v>
      </c>
      <c r="AJ109" s="32" t="s">
        <v>97</v>
      </c>
      <c r="AK109" s="28"/>
      <c r="AL109" s="28"/>
      <c r="AM109" s="33">
        <f>AG109*AI109</f>
        <v>5761189.7142857136</v>
      </c>
    </row>
    <row r="110" spans="1:39" ht="11.1" customHeight="1">
      <c r="A110" s="17"/>
      <c r="B110" s="30" t="s">
        <v>99</v>
      </c>
      <c r="C110" s="43">
        <f>A86</f>
        <v>225</v>
      </c>
      <c r="D110" s="32" t="s">
        <v>96</v>
      </c>
      <c r="E110" s="18">
        <f>'Land Values'!D36</f>
        <v>28931.8</v>
      </c>
      <c r="F110" s="32" t="s">
        <v>97</v>
      </c>
      <c r="G110" s="28"/>
      <c r="H110" s="28"/>
      <c r="I110" s="33">
        <f>C110*E110</f>
        <v>6509655</v>
      </c>
      <c r="K110" s="17"/>
      <c r="L110" s="30" t="s">
        <v>99</v>
      </c>
      <c r="M110" s="43">
        <f>K86</f>
        <v>200</v>
      </c>
      <c r="N110" s="32" t="s">
        <v>96</v>
      </c>
      <c r="O110" s="18">
        <f>'Land Values'!E36</f>
        <v>28931.8</v>
      </c>
      <c r="P110" s="32" t="s">
        <v>97</v>
      </c>
      <c r="Q110" s="28"/>
      <c r="R110" s="28"/>
      <c r="S110" s="33">
        <f>M110*O110</f>
        <v>5786360</v>
      </c>
      <c r="U110" s="17"/>
      <c r="V110" s="30" t="s">
        <v>99</v>
      </c>
      <c r="W110" s="43">
        <f>U86</f>
        <v>175</v>
      </c>
      <c r="X110" s="32" t="s">
        <v>96</v>
      </c>
      <c r="Y110" s="18">
        <f>'Land Values'!F36</f>
        <v>28931.8</v>
      </c>
      <c r="Z110" s="32" t="s">
        <v>97</v>
      </c>
      <c r="AA110" s="28"/>
      <c r="AB110" s="28"/>
      <c r="AC110" s="33">
        <f>W110*Y110</f>
        <v>5063065</v>
      </c>
      <c r="AE110" s="17"/>
      <c r="AF110" s="30" t="s">
        <v>99</v>
      </c>
      <c r="AG110" s="43">
        <f>AE86</f>
        <v>150</v>
      </c>
      <c r="AH110" s="32" t="s">
        <v>96</v>
      </c>
      <c r="AI110" s="18">
        <f>'Land Values'!G36</f>
        <v>33606.94</v>
      </c>
      <c r="AJ110" s="32" t="s">
        <v>97</v>
      </c>
      <c r="AK110" s="28"/>
      <c r="AL110" s="28"/>
      <c r="AM110" s="33">
        <f>AG110*AI110</f>
        <v>5041041</v>
      </c>
    </row>
    <row r="111" spans="1:39" ht="11.1" customHeight="1">
      <c r="A111" s="4"/>
      <c r="B111" s="30" t="s">
        <v>100</v>
      </c>
      <c r="C111" s="43">
        <f>A87</f>
        <v>90</v>
      </c>
      <c r="D111" s="32" t="s">
        <v>96</v>
      </c>
      <c r="E111" s="18">
        <f>'Land Values'!D44</f>
        <v>36164.75</v>
      </c>
      <c r="F111" s="32" t="s">
        <v>97</v>
      </c>
      <c r="G111" s="155" t="s">
        <v>126</v>
      </c>
      <c r="H111" s="156">
        <f>SUM(I107:I111)</f>
        <v>21272622.589285716</v>
      </c>
      <c r="I111" s="33">
        <f>C111*E111</f>
        <v>3254827.5</v>
      </c>
      <c r="K111" s="4"/>
      <c r="L111" s="30" t="s">
        <v>100</v>
      </c>
      <c r="M111" s="43">
        <f>K87</f>
        <v>80</v>
      </c>
      <c r="N111" s="32" t="s">
        <v>96</v>
      </c>
      <c r="O111" s="18">
        <f>'Land Values'!E44</f>
        <v>36164.75</v>
      </c>
      <c r="P111" s="32" t="s">
        <v>97</v>
      </c>
      <c r="Q111" s="155" t="s">
        <v>126</v>
      </c>
      <c r="R111" s="156">
        <f>SUM(S107:S111)</f>
        <v>18908997.857142858</v>
      </c>
      <c r="S111" s="33">
        <f>M111*O111</f>
        <v>2893180</v>
      </c>
      <c r="U111" s="4"/>
      <c r="V111" s="30" t="s">
        <v>100</v>
      </c>
      <c r="W111" s="43">
        <f>U87</f>
        <v>70</v>
      </c>
      <c r="X111" s="32" t="s">
        <v>96</v>
      </c>
      <c r="Y111" s="18">
        <f>'Land Values'!F44</f>
        <v>36164.75</v>
      </c>
      <c r="Z111" s="32" t="s">
        <v>97</v>
      </c>
      <c r="AA111" s="155" t="s">
        <v>126</v>
      </c>
      <c r="AB111" s="156">
        <f>SUM(AC107:AC111)</f>
        <v>16545373.125</v>
      </c>
      <c r="AC111" s="33">
        <f>W111*Y111</f>
        <v>2531532.5</v>
      </c>
      <c r="AE111" s="4"/>
      <c r="AF111" s="30" t="s">
        <v>100</v>
      </c>
      <c r="AG111" s="43">
        <f>AE87</f>
        <v>60</v>
      </c>
      <c r="AH111" s="32" t="s">
        <v>96</v>
      </c>
      <c r="AI111" s="18">
        <f>'Land Values'!G44</f>
        <v>42008.675</v>
      </c>
      <c r="AJ111" s="32" t="s">
        <v>97</v>
      </c>
      <c r="AK111" s="155" t="s">
        <v>126</v>
      </c>
      <c r="AL111" s="156">
        <f>SUM(AM107:AM111)</f>
        <v>16473401.839285713</v>
      </c>
      <c r="AM111" s="33">
        <f>AG111*AI111</f>
        <v>2520520.5</v>
      </c>
    </row>
    <row r="112" spans="1:39" ht="11.1" customHeight="1">
      <c r="A112" s="17" t="s">
        <v>101</v>
      </c>
      <c r="B112" s="17"/>
      <c r="C112" s="28"/>
      <c r="D112" s="44"/>
      <c r="E112" s="45">
        <f>IF(H111&lt;125000,0%,IF(H111&lt;250000,1%,IF(H111&lt;500000,3%,IF(H111&lt;1000000,4%,IF(H111&gt;1000000,5%)))))</f>
        <v>0.05</v>
      </c>
      <c r="F112" s="32"/>
      <c r="G112" s="28"/>
      <c r="H112" s="28"/>
      <c r="I112" s="33">
        <f>SUM(I107:I111)*E112</f>
        <v>1063631.1294642859</v>
      </c>
      <c r="K112" s="17" t="s">
        <v>101</v>
      </c>
      <c r="L112" s="17"/>
      <c r="M112" s="28"/>
      <c r="N112" s="44"/>
      <c r="O112" s="45">
        <f>IF(R111&lt;125000,0%,IF(R111&lt;250000,1%,IF(R111&lt;500000,3%,IF(R111&lt;1000000,4%,IF(R111&gt;1000000,5%)))))</f>
        <v>0.05</v>
      </c>
      <c r="P112" s="32"/>
      <c r="Q112" s="28"/>
      <c r="R112" s="28"/>
      <c r="S112" s="33">
        <f>SUM(S107:S111)*O112</f>
        <v>945449.892857143</v>
      </c>
      <c r="U112" s="17" t="s">
        <v>101</v>
      </c>
      <c r="V112" s="17"/>
      <c r="W112" s="28"/>
      <c r="X112" s="44"/>
      <c r="Y112" s="45">
        <f>IF(AB111&lt;125000,0%,IF(AB111&lt;250000,1%,IF(AB111&lt;500000,3%,IF(AB111&lt;1000000,4%,IF(AB111&gt;1000000,5%)))))</f>
        <v>0.05</v>
      </c>
      <c r="Z112" s="32"/>
      <c r="AA112" s="28"/>
      <c r="AB112" s="28"/>
      <c r="AC112" s="33">
        <f>SUM(AC107:AC111)*Y112</f>
        <v>827268.65625</v>
      </c>
      <c r="AE112" s="17" t="s">
        <v>101</v>
      </c>
      <c r="AF112" s="17"/>
      <c r="AG112" s="28"/>
      <c r="AH112" s="44"/>
      <c r="AI112" s="45">
        <f>IF(AL111&lt;125000,0%,IF(AL111&lt;250000,1%,IF(AL111&lt;500000,3%,IF(AL111&lt;1000000,4%,IF(AL111&gt;1000000,5%)))))</f>
        <v>0.05</v>
      </c>
      <c r="AJ112" s="32"/>
      <c r="AK112" s="28"/>
      <c r="AL112" s="28"/>
      <c r="AM112" s="33">
        <f>SUM(AM107:AM111)*AI112</f>
        <v>823670.0919642857</v>
      </c>
    </row>
    <row r="113" spans="1:39" ht="11.1" customHeight="1">
      <c r="A113" s="25" t="s">
        <v>10</v>
      </c>
      <c r="B113" s="26"/>
      <c r="C113" s="26"/>
      <c r="D113" s="34"/>
      <c r="E113" s="26"/>
      <c r="F113" s="34"/>
      <c r="G113" s="26"/>
      <c r="H113" s="26"/>
      <c r="I113" s="40"/>
      <c r="K113" s="25" t="s">
        <v>10</v>
      </c>
      <c r="L113" s="26"/>
      <c r="M113" s="26"/>
      <c r="N113" s="34"/>
      <c r="O113" s="26"/>
      <c r="P113" s="34"/>
      <c r="Q113" s="26"/>
      <c r="R113" s="26"/>
      <c r="S113" s="40"/>
      <c r="U113" s="25" t="s">
        <v>10</v>
      </c>
      <c r="V113" s="26"/>
      <c r="W113" s="26"/>
      <c r="X113" s="34"/>
      <c r="Y113" s="26"/>
      <c r="Z113" s="34"/>
      <c r="AA113" s="26"/>
      <c r="AB113" s="26"/>
      <c r="AC113" s="40"/>
      <c r="AE113" s="25" t="s">
        <v>10</v>
      </c>
      <c r="AF113" s="26"/>
      <c r="AG113" s="26"/>
      <c r="AH113" s="34"/>
      <c r="AI113" s="26"/>
      <c r="AJ113" s="34"/>
      <c r="AK113" s="26"/>
      <c r="AL113" s="26"/>
      <c r="AM113" s="40"/>
    </row>
    <row r="114" spans="1:39" ht="11.1" customHeight="1">
      <c r="A114" s="29">
        <f>A83+A90+A95+A100</f>
        <v>0</v>
      </c>
      <c r="B114" s="30" t="s">
        <v>36</v>
      </c>
      <c r="C114" s="28"/>
      <c r="D114" s="32"/>
      <c r="E114" s="18">
        <f>Assumptions!$G$22</f>
        <v>1096</v>
      </c>
      <c r="F114" s="32" t="s">
        <v>6</v>
      </c>
      <c r="G114" s="46">
        <f>Assumptions!$D$22</f>
        <v>1.15</v>
      </c>
      <c r="H114" s="32" t="s">
        <v>11</v>
      </c>
      <c r="I114" s="33">
        <f>(A83*C83*E114*G114)+(A90*C90*E114*G114)</f>
        <v>0</v>
      </c>
      <c r="K114" s="29">
        <f>K83+K90+K95+K100</f>
        <v>0</v>
      </c>
      <c r="L114" s="30" t="s">
        <v>36</v>
      </c>
      <c r="M114" s="28"/>
      <c r="N114" s="32"/>
      <c r="O114" s="18">
        <f>Assumptions!$G$22</f>
        <v>1096</v>
      </c>
      <c r="P114" s="32" t="s">
        <v>6</v>
      </c>
      <c r="Q114" s="46">
        <f>Assumptions!$D$22</f>
        <v>1.15</v>
      </c>
      <c r="R114" s="32" t="s">
        <v>11</v>
      </c>
      <c r="S114" s="33">
        <f>(K83*M83*O114*Q114)+(K90*M90*O114*Q114)</f>
        <v>0</v>
      </c>
      <c r="U114" s="29">
        <f>U83+U90+U95+U100</f>
        <v>0</v>
      </c>
      <c r="V114" s="30" t="s">
        <v>36</v>
      </c>
      <c r="W114" s="28"/>
      <c r="X114" s="32"/>
      <c r="Y114" s="18">
        <f>Assumptions!$G$22</f>
        <v>1096</v>
      </c>
      <c r="Z114" s="32" t="s">
        <v>6</v>
      </c>
      <c r="AA114" s="46">
        <f>Assumptions!$D$22</f>
        <v>1.15</v>
      </c>
      <c r="AB114" s="32" t="s">
        <v>11</v>
      </c>
      <c r="AC114" s="33">
        <f>(U83*W83*Y114*AA114)+(U90*W90*Y114*AA114)</f>
        <v>0</v>
      </c>
      <c r="AE114" s="29">
        <f>AE83+AE90+AE95+AE100</f>
        <v>0</v>
      </c>
      <c r="AF114" s="30" t="s">
        <v>36</v>
      </c>
      <c r="AG114" s="28"/>
      <c r="AH114" s="32"/>
      <c r="AI114" s="18">
        <f>Assumptions!$G$22</f>
        <v>1096</v>
      </c>
      <c r="AJ114" s="32" t="s">
        <v>6</v>
      </c>
      <c r="AK114" s="46">
        <f>Assumptions!$D$22</f>
        <v>1.15</v>
      </c>
      <c r="AL114" s="32" t="s">
        <v>11</v>
      </c>
      <c r="AM114" s="33">
        <f>(AE83*AG83*AI114*AK114)+(AE90*AG90*AI114*AK114)</f>
        <v>0</v>
      </c>
    </row>
    <row r="115" spans="1:39" ht="11.1" customHeight="1">
      <c r="A115" s="29">
        <f>A84+A91+A96+A101</f>
        <v>295</v>
      </c>
      <c r="B115" s="30" t="s">
        <v>102</v>
      </c>
      <c r="C115" s="28"/>
      <c r="D115" s="32"/>
      <c r="E115" s="18">
        <f>Assumptions!$G$23</f>
        <v>899</v>
      </c>
      <c r="F115" s="32" t="s">
        <v>6</v>
      </c>
      <c r="G115" s="28"/>
      <c r="H115" s="28"/>
      <c r="I115" s="33">
        <f>(A84*C84*E115)+(A91*C91*E115)</f>
        <v>20393815</v>
      </c>
      <c r="K115" s="29">
        <f>K84+K91+K96+K101</f>
        <v>340</v>
      </c>
      <c r="L115" s="30" t="s">
        <v>102</v>
      </c>
      <c r="M115" s="28"/>
      <c r="N115" s="32"/>
      <c r="O115" s="18">
        <f>Assumptions!$G$23</f>
        <v>899</v>
      </c>
      <c r="P115" s="32" t="s">
        <v>6</v>
      </c>
      <c r="Q115" s="28"/>
      <c r="R115" s="28"/>
      <c r="S115" s="33">
        <f>(K84*M84*O115)+(K91*M91*O115)</f>
        <v>23931380</v>
      </c>
      <c r="U115" s="29">
        <f>U84+U91+U96+U101</f>
        <v>385</v>
      </c>
      <c r="V115" s="30" t="s">
        <v>102</v>
      </c>
      <c r="W115" s="28"/>
      <c r="X115" s="32"/>
      <c r="Y115" s="18">
        <f>Assumptions!$G$23</f>
        <v>899</v>
      </c>
      <c r="Z115" s="32" t="s">
        <v>6</v>
      </c>
      <c r="AA115" s="28"/>
      <c r="AB115" s="28"/>
      <c r="AC115" s="33">
        <f>(U84*W84*Y115)+(U91*W91*Y115)</f>
        <v>27468945</v>
      </c>
      <c r="AE115" s="29">
        <f>AE84+AE91+AE96+AE101</f>
        <v>430</v>
      </c>
      <c r="AF115" s="30" t="s">
        <v>102</v>
      </c>
      <c r="AG115" s="28"/>
      <c r="AH115" s="32"/>
      <c r="AI115" s="18">
        <f>Assumptions!$G$23</f>
        <v>899</v>
      </c>
      <c r="AJ115" s="32" t="s">
        <v>6</v>
      </c>
      <c r="AK115" s="28"/>
      <c r="AL115" s="28"/>
      <c r="AM115" s="33">
        <f>(AE84*AG84*AI115)+(AE91*AG91*AI115)</f>
        <v>31006510</v>
      </c>
    </row>
    <row r="116" spans="1:39" ht="11.1" customHeight="1">
      <c r="A116" s="29">
        <f>A85+A92+A97+A102</f>
        <v>390</v>
      </c>
      <c r="B116" s="30" t="s">
        <v>103</v>
      </c>
      <c r="C116" s="28"/>
      <c r="D116" s="32"/>
      <c r="E116" s="18">
        <f>Assumptions!$G$24</f>
        <v>899</v>
      </c>
      <c r="F116" s="32" t="s">
        <v>6</v>
      </c>
      <c r="G116" s="28"/>
      <c r="H116" s="28"/>
      <c r="I116" s="33">
        <f>(A85*C85*E116)+(A92*C92*E116)</f>
        <v>31015500</v>
      </c>
      <c r="K116" s="29">
        <f>K85+K92+K97+K102</f>
        <v>380</v>
      </c>
      <c r="L116" s="30" t="s">
        <v>103</v>
      </c>
      <c r="M116" s="28"/>
      <c r="N116" s="32"/>
      <c r="O116" s="18">
        <f>Assumptions!$G$24</f>
        <v>899</v>
      </c>
      <c r="P116" s="32" t="s">
        <v>6</v>
      </c>
      <c r="Q116" s="28"/>
      <c r="R116" s="28"/>
      <c r="S116" s="33">
        <f>(K85*M85*O116)+(K92*M92*O116)</f>
        <v>30386200</v>
      </c>
      <c r="U116" s="29">
        <f>U85+U92+U97+U102</f>
        <v>370</v>
      </c>
      <c r="V116" s="30" t="s">
        <v>103</v>
      </c>
      <c r="W116" s="28"/>
      <c r="X116" s="32"/>
      <c r="Y116" s="18">
        <f>Assumptions!$G$24</f>
        <v>899</v>
      </c>
      <c r="Z116" s="32" t="s">
        <v>6</v>
      </c>
      <c r="AA116" s="28"/>
      <c r="AB116" s="28"/>
      <c r="AC116" s="33">
        <f>(U85*W85*Y116)+(U92*W92*Y116)</f>
        <v>29756900</v>
      </c>
      <c r="AE116" s="29">
        <f>AE85+AE92+AE97+AE102</f>
        <v>360</v>
      </c>
      <c r="AF116" s="30" t="s">
        <v>103</v>
      </c>
      <c r="AG116" s="28"/>
      <c r="AH116" s="32"/>
      <c r="AI116" s="18">
        <f>Assumptions!$G$24</f>
        <v>899</v>
      </c>
      <c r="AJ116" s="32" t="s">
        <v>6</v>
      </c>
      <c r="AK116" s="28"/>
      <c r="AL116" s="28"/>
      <c r="AM116" s="33">
        <f>(AE85*AG85*AI116)+(AE92*AG92*AI116)</f>
        <v>29127600</v>
      </c>
    </row>
    <row r="117" spans="1:39" ht="11.1" customHeight="1">
      <c r="A117" s="29">
        <f>A86</f>
        <v>225</v>
      </c>
      <c r="B117" s="30" t="s">
        <v>104</v>
      </c>
      <c r="C117" s="28"/>
      <c r="D117" s="32"/>
      <c r="E117" s="18">
        <f>Assumptions!$G$25</f>
        <v>899</v>
      </c>
      <c r="F117" s="32" t="s">
        <v>6</v>
      </c>
      <c r="G117" s="28"/>
      <c r="H117" s="28"/>
      <c r="I117" s="33">
        <f>(A86*C86*E117)</f>
        <v>24273000</v>
      </c>
      <c r="K117" s="29">
        <f>K86</f>
        <v>200</v>
      </c>
      <c r="L117" s="30" t="s">
        <v>104</v>
      </c>
      <c r="M117" s="28"/>
      <c r="N117" s="32"/>
      <c r="O117" s="18">
        <f>Assumptions!$G$25</f>
        <v>899</v>
      </c>
      <c r="P117" s="32" t="s">
        <v>6</v>
      </c>
      <c r="Q117" s="28"/>
      <c r="R117" s="28"/>
      <c r="S117" s="33">
        <f>(K86*M86*O117)</f>
        <v>21576000</v>
      </c>
      <c r="U117" s="29">
        <f>U86</f>
        <v>175</v>
      </c>
      <c r="V117" s="30" t="s">
        <v>104</v>
      </c>
      <c r="W117" s="28"/>
      <c r="X117" s="32"/>
      <c r="Y117" s="18">
        <f>Assumptions!$G$25</f>
        <v>899</v>
      </c>
      <c r="Z117" s="32" t="s">
        <v>6</v>
      </c>
      <c r="AA117" s="28"/>
      <c r="AB117" s="28"/>
      <c r="AC117" s="33">
        <f>(U86*W86*Y117)</f>
        <v>18879000</v>
      </c>
      <c r="AE117" s="29">
        <f>AE86</f>
        <v>150</v>
      </c>
      <c r="AF117" s="30" t="s">
        <v>104</v>
      </c>
      <c r="AG117" s="28"/>
      <c r="AH117" s="32"/>
      <c r="AI117" s="18">
        <f>Assumptions!$G$25</f>
        <v>899</v>
      </c>
      <c r="AJ117" s="32" t="s">
        <v>6</v>
      </c>
      <c r="AK117" s="28"/>
      <c r="AL117" s="28"/>
      <c r="AM117" s="33">
        <f>(AE86*AG86*AI117)</f>
        <v>16182000</v>
      </c>
    </row>
    <row r="118" spans="1:39" ht="11.1" customHeight="1">
      <c r="A118" s="29">
        <f>A87</f>
        <v>90</v>
      </c>
      <c r="B118" s="30" t="s">
        <v>105</v>
      </c>
      <c r="C118" s="28"/>
      <c r="D118" s="32"/>
      <c r="E118" s="18">
        <f>Assumptions!$G$26</f>
        <v>899</v>
      </c>
      <c r="F118" s="32" t="s">
        <v>6</v>
      </c>
      <c r="G118" s="28"/>
      <c r="H118" s="28"/>
      <c r="I118" s="33">
        <f>(A87*C87*E118)</f>
        <v>12136500</v>
      </c>
      <c r="K118" s="29">
        <f>K87</f>
        <v>80</v>
      </c>
      <c r="L118" s="30" t="s">
        <v>105</v>
      </c>
      <c r="M118" s="28"/>
      <c r="N118" s="32"/>
      <c r="O118" s="18">
        <f>Assumptions!$G$26</f>
        <v>899</v>
      </c>
      <c r="P118" s="32" t="s">
        <v>6</v>
      </c>
      <c r="Q118" s="28"/>
      <c r="R118" s="28"/>
      <c r="S118" s="33">
        <f>(K87*M87*O118)</f>
        <v>10788000</v>
      </c>
      <c r="U118" s="29">
        <f>U87</f>
        <v>70</v>
      </c>
      <c r="V118" s="30" t="s">
        <v>105</v>
      </c>
      <c r="W118" s="28"/>
      <c r="X118" s="32"/>
      <c r="Y118" s="18">
        <f>Assumptions!$G$26</f>
        <v>899</v>
      </c>
      <c r="Z118" s="32" t="s">
        <v>6</v>
      </c>
      <c r="AA118" s="28"/>
      <c r="AB118" s="28"/>
      <c r="AC118" s="33">
        <f>(U87*W87*Y118)</f>
        <v>9439500</v>
      </c>
      <c r="AE118" s="29">
        <f>AE87</f>
        <v>60</v>
      </c>
      <c r="AF118" s="30" t="s">
        <v>105</v>
      </c>
      <c r="AG118" s="28"/>
      <c r="AH118" s="32"/>
      <c r="AI118" s="18">
        <f>Assumptions!$G$26</f>
        <v>899</v>
      </c>
      <c r="AJ118" s="32" t="s">
        <v>6</v>
      </c>
      <c r="AK118" s="28"/>
      <c r="AL118" s="28"/>
      <c r="AM118" s="33">
        <f>(AE87*AG87*AI118)</f>
        <v>8091000</v>
      </c>
    </row>
    <row r="119" spans="1:39" ht="11.1" customHeight="1">
      <c r="A119" s="38">
        <f>SUM(A114:A118)</f>
        <v>1000</v>
      </c>
      <c r="B119" s="26"/>
      <c r="C119" s="47">
        <f>SUM(A114*C114*G114)+(A115*C115)+(A116*C116)+(A117*C117)+(A118*C118)</f>
        <v>0</v>
      </c>
      <c r="D119" s="34" t="s">
        <v>106</v>
      </c>
      <c r="E119" s="26"/>
      <c r="F119" s="34"/>
      <c r="G119" s="26"/>
      <c r="H119" s="26"/>
      <c r="I119" s="40"/>
      <c r="K119" s="38">
        <f>SUM(K114:K118)</f>
        <v>1000</v>
      </c>
      <c r="L119" s="26"/>
      <c r="M119" s="47">
        <f>SUM(K114*M114*Q114)+(K115*M115)+(K116*M116)+(K117*M117)+(K118*M118)</f>
        <v>0</v>
      </c>
      <c r="N119" s="34" t="s">
        <v>106</v>
      </c>
      <c r="O119" s="26"/>
      <c r="P119" s="34"/>
      <c r="Q119" s="26"/>
      <c r="R119" s="26"/>
      <c r="S119" s="40"/>
      <c r="U119" s="38">
        <f>SUM(U114:U118)</f>
        <v>1000</v>
      </c>
      <c r="V119" s="26"/>
      <c r="W119" s="47">
        <f>SUM(U114*W114*AA114)+(U115*W115)+(U116*W116)+(U117*W117)+(U118*W118)</f>
        <v>0</v>
      </c>
      <c r="X119" s="34" t="s">
        <v>106</v>
      </c>
      <c r="Y119" s="26"/>
      <c r="Z119" s="34"/>
      <c r="AA119" s="26"/>
      <c r="AB119" s="26"/>
      <c r="AC119" s="40"/>
      <c r="AE119" s="38">
        <f>SUM(AE114:AE118)</f>
        <v>1000</v>
      </c>
      <c r="AF119" s="26"/>
      <c r="AG119" s="47">
        <f>SUM(AE114*AG114*AK114)+(AE115*AG115)+(AE116*AG116)+(AE117*AG117)+(AE118*AG118)</f>
        <v>0</v>
      </c>
      <c r="AH119" s="34" t="s">
        <v>106</v>
      </c>
      <c r="AI119" s="26"/>
      <c r="AJ119" s="34"/>
      <c r="AK119" s="26"/>
      <c r="AL119" s="26"/>
      <c r="AM119" s="40"/>
    </row>
    <row r="120" spans="1:39" ht="11.1" customHeight="1">
      <c r="A120" s="17" t="s">
        <v>137</v>
      </c>
      <c r="B120" s="4"/>
      <c r="E120" s="71">
        <f>IF(E108&lt;25000,0,IF(E108&gt;25000,(E108*Assumptions!$D$211)))</f>
        <v>0</v>
      </c>
      <c r="F120" s="48" t="s">
        <v>138</v>
      </c>
      <c r="I120" s="33">
        <f>D78*E120</f>
        <v>0</v>
      </c>
      <c r="K120" s="17" t="s">
        <v>137</v>
      </c>
      <c r="L120" s="4"/>
      <c r="O120" s="71">
        <f>IF(O108&lt;25000,0,IF(O108&gt;25000,(O108*Assumptions!$D$211)))</f>
        <v>0</v>
      </c>
      <c r="P120" s="48" t="s">
        <v>138</v>
      </c>
      <c r="S120" s="33">
        <f>N78*O120</f>
        <v>0</v>
      </c>
      <c r="U120" s="17" t="s">
        <v>137</v>
      </c>
      <c r="V120" s="4"/>
      <c r="Y120" s="71">
        <f>IF(Y108&lt;25000,0,IF(Y108&gt;25000,(Y108*Assumptions!$D$211)))</f>
        <v>0</v>
      </c>
      <c r="Z120" s="48" t="s">
        <v>138</v>
      </c>
      <c r="AC120" s="33">
        <f>X78*Y120</f>
        <v>0</v>
      </c>
      <c r="AE120" s="17" t="s">
        <v>137</v>
      </c>
      <c r="AF120" s="4"/>
      <c r="AI120" s="71">
        <f>IF(AI108&lt;25000,0,IF(AI108&gt;25000,(AI108*Assumptions!$D$211)))</f>
        <v>0</v>
      </c>
      <c r="AJ120" s="48" t="s">
        <v>138</v>
      </c>
      <c r="AM120" s="33">
        <f>AH78*AI120</f>
        <v>0</v>
      </c>
    </row>
    <row r="121" spans="1:39" ht="11.1" customHeight="1">
      <c r="A121" s="17" t="s">
        <v>119</v>
      </c>
      <c r="B121" s="17"/>
      <c r="C121" s="49"/>
      <c r="D121" s="28"/>
      <c r="E121" s="73">
        <f>Assumptions!$E$44</f>
        <v>0.08</v>
      </c>
      <c r="F121" s="32" t="s">
        <v>14</v>
      </c>
      <c r="G121" s="28"/>
      <c r="H121" s="28"/>
      <c r="I121" s="33">
        <f>SUM(I114:I118)*E121</f>
        <v>7025505.2</v>
      </c>
      <c r="K121" s="17" t="s">
        <v>119</v>
      </c>
      <c r="L121" s="17"/>
      <c r="M121" s="49"/>
      <c r="N121" s="28"/>
      <c r="O121" s="73">
        <f>Assumptions!$E$44</f>
        <v>0.08</v>
      </c>
      <c r="P121" s="32" t="s">
        <v>14</v>
      </c>
      <c r="Q121" s="28"/>
      <c r="R121" s="28"/>
      <c r="S121" s="33">
        <f>SUM(S114:S118)*O121</f>
        <v>6934526.4</v>
      </c>
      <c r="U121" s="17" t="s">
        <v>119</v>
      </c>
      <c r="V121" s="17"/>
      <c r="W121" s="49"/>
      <c r="X121" s="28"/>
      <c r="Y121" s="73">
        <f>Assumptions!$E$44</f>
        <v>0.08</v>
      </c>
      <c r="Z121" s="32" t="s">
        <v>14</v>
      </c>
      <c r="AA121" s="28"/>
      <c r="AB121" s="28"/>
      <c r="AC121" s="33">
        <f>SUM(AC114:AC118)*Y121</f>
        <v>6843547.6000000006</v>
      </c>
      <c r="AE121" s="17" t="s">
        <v>119</v>
      </c>
      <c r="AF121" s="17"/>
      <c r="AG121" s="49"/>
      <c r="AH121" s="28"/>
      <c r="AI121" s="73">
        <f>Assumptions!$E$44</f>
        <v>0.08</v>
      </c>
      <c r="AJ121" s="32" t="s">
        <v>14</v>
      </c>
      <c r="AK121" s="28"/>
      <c r="AL121" s="28"/>
      <c r="AM121" s="33">
        <f>SUM(AM114:AM118)*AI121</f>
        <v>6752568.8</v>
      </c>
    </row>
    <row r="122" spans="1:39" ht="11.1" customHeight="1">
      <c r="A122" s="17" t="s">
        <v>15</v>
      </c>
      <c r="B122" s="17"/>
      <c r="C122" s="49"/>
      <c r="D122" s="28"/>
      <c r="E122" s="73">
        <f>Assumptions!$E$45</f>
        <v>0.005</v>
      </c>
      <c r="F122" s="32" t="s">
        <v>16</v>
      </c>
      <c r="G122" s="28"/>
      <c r="H122" s="28"/>
      <c r="I122" s="33">
        <f>I104*E122</f>
        <v>906126.6</v>
      </c>
      <c r="K122" s="17" t="s">
        <v>15</v>
      </c>
      <c r="L122" s="17"/>
      <c r="M122" s="49"/>
      <c r="N122" s="28"/>
      <c r="O122" s="73">
        <f>Assumptions!$E$45</f>
        <v>0.005</v>
      </c>
      <c r="P122" s="32" t="s">
        <v>16</v>
      </c>
      <c r="Q122" s="28"/>
      <c r="R122" s="28"/>
      <c r="S122" s="33">
        <f>S104*O122</f>
        <v>848094.8</v>
      </c>
      <c r="U122" s="17" t="s">
        <v>15</v>
      </c>
      <c r="V122" s="17"/>
      <c r="W122" s="49"/>
      <c r="X122" s="28"/>
      <c r="Y122" s="73">
        <f>Assumptions!$E$45</f>
        <v>0.005</v>
      </c>
      <c r="Z122" s="32" t="s">
        <v>16</v>
      </c>
      <c r="AA122" s="28"/>
      <c r="AB122" s="28"/>
      <c r="AC122" s="33">
        <f>AC104*Y122</f>
        <v>794035.35</v>
      </c>
      <c r="AE122" s="17" t="s">
        <v>15</v>
      </c>
      <c r="AF122" s="17"/>
      <c r="AG122" s="49"/>
      <c r="AH122" s="28"/>
      <c r="AI122" s="73">
        <f>Assumptions!$E$45</f>
        <v>0.005</v>
      </c>
      <c r="AJ122" s="32" t="s">
        <v>16</v>
      </c>
      <c r="AK122" s="28"/>
      <c r="AL122" s="28"/>
      <c r="AM122" s="33">
        <f>AM104*AI122</f>
        <v>787822.3</v>
      </c>
    </row>
    <row r="123" spans="1:39" ht="11.1" customHeight="1">
      <c r="A123" s="17" t="s">
        <v>17</v>
      </c>
      <c r="B123" s="17"/>
      <c r="C123" s="49"/>
      <c r="D123" s="28"/>
      <c r="E123" s="73">
        <f>Assumptions!$E$46</f>
        <v>0.011</v>
      </c>
      <c r="F123" s="32" t="s">
        <v>14</v>
      </c>
      <c r="G123" s="28"/>
      <c r="H123" s="28"/>
      <c r="I123" s="33">
        <f>SUM(I114:I118)*E123</f>
        <v>966006.965</v>
      </c>
      <c r="K123" s="17" t="s">
        <v>17</v>
      </c>
      <c r="L123" s="17"/>
      <c r="M123" s="49"/>
      <c r="N123" s="28"/>
      <c r="O123" s="73">
        <f>Assumptions!$E$46</f>
        <v>0.011</v>
      </c>
      <c r="P123" s="32" t="s">
        <v>14</v>
      </c>
      <c r="Q123" s="28"/>
      <c r="R123" s="28"/>
      <c r="S123" s="33">
        <f>SUM(S114:S118)*O123</f>
        <v>953497.37999999989</v>
      </c>
      <c r="U123" s="17" t="s">
        <v>17</v>
      </c>
      <c r="V123" s="17"/>
      <c r="W123" s="49"/>
      <c r="X123" s="28"/>
      <c r="Y123" s="73">
        <f>Assumptions!$E$46</f>
        <v>0.011</v>
      </c>
      <c r="Z123" s="32" t="s">
        <v>14</v>
      </c>
      <c r="AA123" s="28"/>
      <c r="AB123" s="28"/>
      <c r="AC123" s="33">
        <f>SUM(AC114:AC118)*Y123</f>
        <v>940987.79499999993</v>
      </c>
      <c r="AE123" s="17" t="s">
        <v>17</v>
      </c>
      <c r="AF123" s="17"/>
      <c r="AG123" s="49"/>
      <c r="AH123" s="28"/>
      <c r="AI123" s="73">
        <f>Assumptions!$E$46</f>
        <v>0.011</v>
      </c>
      <c r="AJ123" s="32" t="s">
        <v>14</v>
      </c>
      <c r="AK123" s="28"/>
      <c r="AL123" s="28"/>
      <c r="AM123" s="33">
        <f>SUM(AM114:AM118)*AI123</f>
        <v>928478.21</v>
      </c>
    </row>
    <row r="124" spans="1:39" ht="11.1" customHeight="1">
      <c r="A124" s="17" t="s">
        <v>18</v>
      </c>
      <c r="B124" s="17"/>
      <c r="C124" s="49"/>
      <c r="D124" s="28"/>
      <c r="E124" s="73">
        <f>Assumptions!$E$47</f>
        <v>0.02</v>
      </c>
      <c r="F124" s="32" t="s">
        <v>50</v>
      </c>
      <c r="G124" s="28"/>
      <c r="H124" s="28"/>
      <c r="I124" s="33">
        <f>SUM(I83:I87)*E124</f>
        <v>3473145</v>
      </c>
      <c r="K124" s="17" t="s">
        <v>18</v>
      </c>
      <c r="L124" s="17"/>
      <c r="M124" s="49"/>
      <c r="N124" s="28"/>
      <c r="O124" s="73">
        <f>Assumptions!$E$47</f>
        <v>0.02</v>
      </c>
      <c r="P124" s="32" t="s">
        <v>50</v>
      </c>
      <c r="Q124" s="28"/>
      <c r="R124" s="28"/>
      <c r="S124" s="33">
        <f>SUM(S83:S87)*O124</f>
        <v>3087240</v>
      </c>
      <c r="U124" s="17" t="s">
        <v>18</v>
      </c>
      <c r="V124" s="17"/>
      <c r="W124" s="49"/>
      <c r="X124" s="28"/>
      <c r="Y124" s="73">
        <f>Assumptions!$E$47</f>
        <v>0.02</v>
      </c>
      <c r="Z124" s="32" t="s">
        <v>50</v>
      </c>
      <c r="AA124" s="28"/>
      <c r="AB124" s="28"/>
      <c r="AC124" s="33">
        <f>SUM(AC83:AC87)*Y124</f>
        <v>2701335</v>
      </c>
      <c r="AE124" s="17" t="s">
        <v>18</v>
      </c>
      <c r="AF124" s="17"/>
      <c r="AG124" s="49"/>
      <c r="AH124" s="28"/>
      <c r="AI124" s="73">
        <f>Assumptions!$E$47</f>
        <v>0.02</v>
      </c>
      <c r="AJ124" s="32" t="s">
        <v>50</v>
      </c>
      <c r="AK124" s="28"/>
      <c r="AL124" s="28"/>
      <c r="AM124" s="33">
        <f>SUM(AM83:AM87)*AI124</f>
        <v>2434170</v>
      </c>
    </row>
    <row r="125" spans="1:39" ht="11.1" customHeight="1">
      <c r="A125" s="17" t="s">
        <v>19</v>
      </c>
      <c r="B125" s="17"/>
      <c r="C125" s="50"/>
      <c r="D125" s="28"/>
      <c r="E125" s="73">
        <f>Assumptions!$E$48</f>
        <v>0.05</v>
      </c>
      <c r="F125" s="32" t="s">
        <v>14</v>
      </c>
      <c r="G125" s="28"/>
      <c r="H125" s="28"/>
      <c r="I125" s="33">
        <f>SUM(I114:I120)*E125</f>
        <v>4390940.75</v>
      </c>
      <c r="K125" s="17" t="s">
        <v>19</v>
      </c>
      <c r="L125" s="17"/>
      <c r="M125" s="50"/>
      <c r="N125" s="28"/>
      <c r="O125" s="73">
        <f>Assumptions!$E$48</f>
        <v>0.05</v>
      </c>
      <c r="P125" s="32" t="s">
        <v>14</v>
      </c>
      <c r="Q125" s="28"/>
      <c r="R125" s="28"/>
      <c r="S125" s="33">
        <f>SUM(S114:S120)*O125</f>
        <v>4334079</v>
      </c>
      <c r="U125" s="17" t="s">
        <v>19</v>
      </c>
      <c r="V125" s="17"/>
      <c r="W125" s="50"/>
      <c r="X125" s="28"/>
      <c r="Y125" s="73">
        <f>Assumptions!$E$48</f>
        <v>0.05</v>
      </c>
      <c r="Z125" s="32" t="s">
        <v>14</v>
      </c>
      <c r="AA125" s="28"/>
      <c r="AB125" s="28"/>
      <c r="AC125" s="33">
        <f>SUM(AC114:AC120)*Y125</f>
        <v>4277217.25</v>
      </c>
      <c r="AE125" s="17" t="s">
        <v>19</v>
      </c>
      <c r="AF125" s="17"/>
      <c r="AG125" s="50"/>
      <c r="AH125" s="28"/>
      <c r="AI125" s="73">
        <f>Assumptions!$E$48</f>
        <v>0.05</v>
      </c>
      <c r="AJ125" s="32" t="s">
        <v>14</v>
      </c>
      <c r="AK125" s="28"/>
      <c r="AL125" s="28"/>
      <c r="AM125" s="33">
        <f>SUM(AM114:AM120)*AI125</f>
        <v>4220355.5</v>
      </c>
    </row>
    <row r="126" spans="1:39" ht="11.1" customHeight="1">
      <c r="A126" s="17" t="s">
        <v>20</v>
      </c>
      <c r="B126" s="4"/>
      <c r="C126" s="13"/>
      <c r="E126" s="74">
        <f>Assumptions!$E$49</f>
        <v>4000</v>
      </c>
      <c r="F126" s="32" t="s">
        <v>51</v>
      </c>
      <c r="I126" s="36">
        <f>A103*E126</f>
        <v>4000000</v>
      </c>
      <c r="K126" s="17" t="s">
        <v>20</v>
      </c>
      <c r="L126" s="4"/>
      <c r="M126" s="13"/>
      <c r="O126" s="74">
        <f>Assumptions!$E$49</f>
        <v>4000</v>
      </c>
      <c r="P126" s="32" t="s">
        <v>51</v>
      </c>
      <c r="S126" s="36">
        <f>K103*O126</f>
        <v>4000000</v>
      </c>
      <c r="U126" s="17" t="s">
        <v>20</v>
      </c>
      <c r="V126" s="4"/>
      <c r="W126" s="13"/>
      <c r="Y126" s="74">
        <f>Assumptions!$E$49</f>
        <v>4000</v>
      </c>
      <c r="Z126" s="32" t="s">
        <v>51</v>
      </c>
      <c r="AC126" s="36">
        <f>U103*Y126</f>
        <v>4000000</v>
      </c>
      <c r="AE126" s="17" t="s">
        <v>20</v>
      </c>
      <c r="AF126" s="4"/>
      <c r="AG126" s="13"/>
      <c r="AI126" s="74">
        <f>Assumptions!$E$49</f>
        <v>4000</v>
      </c>
      <c r="AJ126" s="32" t="s">
        <v>51</v>
      </c>
      <c r="AM126" s="36">
        <f>AE103*AI126</f>
        <v>4000000</v>
      </c>
    </row>
    <row r="127" spans="1:39" ht="11.1" customHeight="1">
      <c r="A127" s="17" t="s">
        <v>121</v>
      </c>
      <c r="B127" s="17"/>
      <c r="C127" s="45">
        <f>Assumptions!$C$50</f>
        <v>0.05</v>
      </c>
      <c r="D127" s="72">
        <f>Assumptions!$D$50</f>
        <v>12</v>
      </c>
      <c r="E127" s="32" t="s">
        <v>22</v>
      </c>
      <c r="F127" s="28"/>
      <c r="G127" s="71">
        <f>Assumptions!$G$50</f>
        <v>6</v>
      </c>
      <c r="H127" s="32" t="s">
        <v>110</v>
      </c>
      <c r="I127" s="33">
        <f>(((SUM(I107:I112)*POWER((1+C127/12),((D127+G127)/12)*12))-SUM(I107:I112))      +           ((((SUM(I114:I126)*POWER((1+C127/12),((D127+G127)/12)*12))-SUM(I114:I126))*0.5)))</f>
        <v>5955123.0624558777</v>
      </c>
      <c r="K127" s="17" t="s">
        <v>121</v>
      </c>
      <c r="L127" s="17"/>
      <c r="M127" s="45">
        <f>Assumptions!$C$50</f>
        <v>0.05</v>
      </c>
      <c r="N127" s="72">
        <f>Assumptions!$D$50</f>
        <v>12</v>
      </c>
      <c r="O127" s="32" t="s">
        <v>22</v>
      </c>
      <c r="P127" s="28"/>
      <c r="Q127" s="71">
        <f>Assumptions!$G$50</f>
        <v>6</v>
      </c>
      <c r="R127" s="32" t="s">
        <v>110</v>
      </c>
      <c r="S127" s="33">
        <f>(((SUM(S107:S112)*POWER((1+M127/12),((N127+Q127)/12)*12))-SUM(S107:S112))      +           ((((SUM(S114:S126)*POWER((1+M127/12),((N127+Q127)/12)*12))-SUM(S114:S126))*0.5)))</f>
        <v>5694574.2632313184</v>
      </c>
      <c r="U127" s="17" t="s">
        <v>121</v>
      </c>
      <c r="V127" s="17"/>
      <c r="W127" s="45">
        <f>Assumptions!$C$50</f>
        <v>0.05</v>
      </c>
      <c r="X127" s="72">
        <f>Assumptions!$D$50</f>
        <v>12</v>
      </c>
      <c r="Y127" s="32" t="s">
        <v>22</v>
      </c>
      <c r="Z127" s="28"/>
      <c r="AA127" s="71">
        <f>Assumptions!$G$50</f>
        <v>6</v>
      </c>
      <c r="AB127" s="32" t="s">
        <v>110</v>
      </c>
      <c r="AC127" s="33">
        <f>(((SUM(AC107:AC112)*POWER((1+W127/12),((X127+AA127)/12)*12))-SUM(AC107:AC112))      +           ((((SUM(AC114:AC126)*POWER((1+W127/12),((X127+AA127)/12)*12))-SUM(AC114:AC126))*0.5)))</f>
        <v>5434179.8220020346</v>
      </c>
      <c r="AE127" s="17" t="s">
        <v>121</v>
      </c>
      <c r="AF127" s="17"/>
      <c r="AG127" s="45">
        <f>Assumptions!$C$50</f>
        <v>0.05</v>
      </c>
      <c r="AH127" s="72">
        <f>Assumptions!$D$50</f>
        <v>12</v>
      </c>
      <c r="AI127" s="32" t="s">
        <v>22</v>
      </c>
      <c r="AJ127" s="28"/>
      <c r="AK127" s="71">
        <f>Assumptions!$G$50</f>
        <v>6</v>
      </c>
      <c r="AL127" s="32" t="s">
        <v>110</v>
      </c>
      <c r="AM127" s="33">
        <f>(((SUM(AM107:AM112)*POWER((1+AG127/12),((AH127+AK127)/12)*12))-SUM(AM107:AM112))      +           ((((SUM(AM114:AM126)*POWER((1+AG127/12),((AH127+AK127)/12)*12))-SUM(AM114:AM126))*0.5)))</f>
        <v>5367262.1664622761</v>
      </c>
    </row>
    <row r="128" spans="1:39" ht="11.1" customHeight="1">
      <c r="A128" s="17" t="s">
        <v>23</v>
      </c>
      <c r="B128" s="17"/>
      <c r="C128" s="45">
        <f>Assumptions!$C$51</f>
        <v>0</v>
      </c>
      <c r="D128" s="32" t="s">
        <v>24</v>
      </c>
      <c r="E128" s="28"/>
      <c r="F128" s="28"/>
      <c r="G128" s="28"/>
      <c r="H128" s="28"/>
      <c r="I128" s="33">
        <f>SUM(I107:I125)*C128</f>
        <v>0</v>
      </c>
      <c r="K128" s="17" t="s">
        <v>23</v>
      </c>
      <c r="L128" s="17"/>
      <c r="M128" s="45">
        <f>Assumptions!$C$51</f>
        <v>0</v>
      </c>
      <c r="N128" s="32" t="s">
        <v>24</v>
      </c>
      <c r="O128" s="28"/>
      <c r="P128" s="28"/>
      <c r="Q128" s="28"/>
      <c r="R128" s="28"/>
      <c r="S128" s="33">
        <f>SUM(S107:S125)*M128</f>
        <v>0</v>
      </c>
      <c r="U128" s="17" t="s">
        <v>23</v>
      </c>
      <c r="V128" s="17"/>
      <c r="W128" s="45">
        <f>Assumptions!$C$51</f>
        <v>0</v>
      </c>
      <c r="X128" s="32" t="s">
        <v>24</v>
      </c>
      <c r="Y128" s="28"/>
      <c r="Z128" s="28"/>
      <c r="AA128" s="28"/>
      <c r="AB128" s="28"/>
      <c r="AC128" s="33">
        <f>SUM(AC107:AC125)*W128</f>
        <v>0</v>
      </c>
      <c r="AE128" s="17" t="s">
        <v>23</v>
      </c>
      <c r="AF128" s="17"/>
      <c r="AG128" s="45">
        <f>Assumptions!$C$51</f>
        <v>0</v>
      </c>
      <c r="AH128" s="32" t="s">
        <v>24</v>
      </c>
      <c r="AI128" s="28"/>
      <c r="AJ128" s="28"/>
      <c r="AK128" s="28"/>
      <c r="AL128" s="28"/>
      <c r="AM128" s="33">
        <f>SUM(AM107:AM125)*AG128</f>
        <v>0</v>
      </c>
    </row>
    <row r="129" spans="1:39" ht="11.1" customHeight="1">
      <c r="A129" s="17" t="s">
        <v>25</v>
      </c>
      <c r="B129" s="17"/>
      <c r="C129" s="155" t="s">
        <v>155</v>
      </c>
      <c r="D129" s="45">
        <f>Assumptions!$D$52</f>
        <v>0.2</v>
      </c>
      <c r="E129" s="32" t="s">
        <v>26</v>
      </c>
      <c r="F129" s="155" t="s">
        <v>156</v>
      </c>
      <c r="G129" s="45">
        <f>Assumptions!$G$52</f>
        <v>0.06</v>
      </c>
      <c r="H129" s="32" t="s">
        <v>26</v>
      </c>
      <c r="I129" s="33">
        <f>SUM(I83:I87)*D129+SUM(I90:I102)*G129</f>
        <v>35185534.2</v>
      </c>
      <c r="K129" s="17" t="s">
        <v>25</v>
      </c>
      <c r="L129" s="17"/>
      <c r="M129" s="155" t="s">
        <v>155</v>
      </c>
      <c r="N129" s="45">
        <f>Assumptions!$D$52</f>
        <v>0.2</v>
      </c>
      <c r="O129" s="32" t="s">
        <v>26</v>
      </c>
      <c r="P129" s="155" t="s">
        <v>156</v>
      </c>
      <c r="Q129" s="45">
        <f>Assumptions!$G$52</f>
        <v>0.06</v>
      </c>
      <c r="R129" s="32" t="s">
        <v>26</v>
      </c>
      <c r="S129" s="33">
        <f>SUM(S83:S87)*N129+SUM(S90:S102)*Q129</f>
        <v>31787817.6</v>
      </c>
      <c r="U129" s="17" t="s">
        <v>25</v>
      </c>
      <c r="V129" s="17"/>
      <c r="W129" s="155" t="s">
        <v>155</v>
      </c>
      <c r="X129" s="45">
        <f>Assumptions!$D$52</f>
        <v>0.2</v>
      </c>
      <c r="Y129" s="32" t="s">
        <v>26</v>
      </c>
      <c r="Z129" s="155" t="s">
        <v>156</v>
      </c>
      <c r="AA129" s="45">
        <f>Assumptions!$G$52</f>
        <v>0.06</v>
      </c>
      <c r="AB129" s="32" t="s">
        <v>26</v>
      </c>
      <c r="AC129" s="33">
        <f>SUM(AC83:AC87)*X129+SUM(AC90:AC102)*AA129</f>
        <v>28437769.2</v>
      </c>
      <c r="AE129" s="17" t="s">
        <v>25</v>
      </c>
      <c r="AF129" s="17"/>
      <c r="AG129" s="155" t="s">
        <v>155</v>
      </c>
      <c r="AH129" s="45">
        <f>Assumptions!$D$52</f>
        <v>0.2</v>
      </c>
      <c r="AI129" s="32" t="s">
        <v>26</v>
      </c>
      <c r="AJ129" s="155" t="s">
        <v>156</v>
      </c>
      <c r="AK129" s="45">
        <f>Assumptions!$G$52</f>
        <v>0.06</v>
      </c>
      <c r="AL129" s="32" t="s">
        <v>26</v>
      </c>
      <c r="AM129" s="33">
        <f>SUM(AM83:AM87)*AH129+SUM(AM90:AM102)*AK129</f>
        <v>26493057.6</v>
      </c>
    </row>
    <row r="130" spans="1:39" ht="11.1" customHeight="1">
      <c r="A130" s="26"/>
      <c r="B130" s="26"/>
      <c r="C130" s="26"/>
      <c r="D130" s="26"/>
      <c r="E130" s="26"/>
      <c r="F130" s="26"/>
      <c r="G130" s="26"/>
      <c r="H130" s="26"/>
      <c r="I130" s="40"/>
      <c r="K130" s="26"/>
      <c r="L130" s="26"/>
      <c r="M130" s="26"/>
      <c r="N130" s="26"/>
      <c r="O130" s="26"/>
      <c r="P130" s="26"/>
      <c r="Q130" s="26"/>
      <c r="R130" s="26"/>
      <c r="S130" s="40"/>
      <c r="U130" s="26"/>
      <c r="V130" s="26"/>
      <c r="W130" s="26"/>
      <c r="X130" s="26"/>
      <c r="Y130" s="26"/>
      <c r="Z130" s="26"/>
      <c r="AA130" s="26"/>
      <c r="AB130" s="26"/>
      <c r="AC130" s="40"/>
      <c r="AE130" s="26"/>
      <c r="AF130" s="26"/>
      <c r="AG130" s="26"/>
      <c r="AH130" s="26"/>
      <c r="AI130" s="26"/>
      <c r="AJ130" s="26"/>
      <c r="AK130" s="26"/>
      <c r="AL130" s="26"/>
      <c r="AM130" s="40"/>
    </row>
    <row r="131" spans="1:39" ht="11.1" customHeight="1">
      <c r="A131" s="25" t="s">
        <v>27</v>
      </c>
      <c r="B131" s="26"/>
      <c r="C131" s="26"/>
      <c r="D131" s="26"/>
      <c r="E131" s="26"/>
      <c r="F131" s="26"/>
      <c r="G131" s="26"/>
      <c r="H131" s="26"/>
      <c r="I131" s="42">
        <f>SUM(I107:I130)</f>
        <v>172057450.49620587</v>
      </c>
      <c r="K131" s="25" t="s">
        <v>27</v>
      </c>
      <c r="L131" s="26"/>
      <c r="M131" s="26"/>
      <c r="N131" s="26"/>
      <c r="O131" s="26"/>
      <c r="P131" s="26"/>
      <c r="Q131" s="26"/>
      <c r="R131" s="26"/>
      <c r="S131" s="42">
        <f>SUM(S107:S130)</f>
        <v>164175857.19323131</v>
      </c>
      <c r="U131" s="25" t="s">
        <v>27</v>
      </c>
      <c r="V131" s="26"/>
      <c r="W131" s="26"/>
      <c r="X131" s="26"/>
      <c r="Y131" s="26"/>
      <c r="Z131" s="26"/>
      <c r="AA131" s="26"/>
      <c r="AB131" s="26"/>
      <c r="AC131" s="42">
        <f>SUM(AC107:AC130)</f>
        <v>156346058.79825202</v>
      </c>
      <c r="AE131" s="25" t="s">
        <v>27</v>
      </c>
      <c r="AF131" s="26"/>
      <c r="AG131" s="26"/>
      <c r="AH131" s="26"/>
      <c r="AI131" s="26"/>
      <c r="AJ131" s="26"/>
      <c r="AK131" s="26"/>
      <c r="AL131" s="26"/>
      <c r="AM131" s="42">
        <f>SUM(AM107:AM130)</f>
        <v>152687896.50771227</v>
      </c>
    </row>
    <row r="132" spans="1:39" ht="11.1" customHeight="1">
      <c r="A132" s="28"/>
      <c r="B132" s="28"/>
      <c r="C132" s="28"/>
      <c r="D132" s="28"/>
      <c r="E132" s="28"/>
      <c r="F132" s="28"/>
      <c r="G132" s="28"/>
      <c r="H132" s="28"/>
      <c r="I132" s="51"/>
      <c r="K132" s="28"/>
      <c r="L132" s="28"/>
      <c r="M132" s="28"/>
      <c r="N132" s="28"/>
      <c r="O132" s="28"/>
      <c r="P132" s="28"/>
      <c r="Q132" s="28"/>
      <c r="R132" s="28"/>
      <c r="S132" s="51"/>
      <c r="U132" s="28"/>
      <c r="V132" s="28"/>
      <c r="W132" s="28"/>
      <c r="X132" s="28"/>
      <c r="Y132" s="28"/>
      <c r="Z132" s="28"/>
      <c r="AA132" s="28"/>
      <c r="AB132" s="28"/>
      <c r="AC132" s="51"/>
      <c r="AE132" s="28"/>
      <c r="AF132" s="28"/>
      <c r="AG132" s="28"/>
      <c r="AH132" s="28"/>
      <c r="AI132" s="28"/>
      <c r="AJ132" s="28"/>
      <c r="AK132" s="28"/>
      <c r="AL132" s="28"/>
      <c r="AM132" s="51"/>
    </row>
    <row r="133" spans="1:39" ht="11.1" customHeight="1">
      <c r="A133" s="52" t="s">
        <v>28</v>
      </c>
      <c r="B133" s="53"/>
      <c r="C133" s="53"/>
      <c r="D133" s="53"/>
      <c r="E133" s="53"/>
      <c r="F133" s="53"/>
      <c r="G133" s="53"/>
      <c r="H133" s="53"/>
      <c r="I133" s="54">
        <f>I104-I131</f>
        <v>9167869.5037941337</v>
      </c>
      <c r="K133" s="52" t="s">
        <v>28</v>
      </c>
      <c r="L133" s="53"/>
      <c r="M133" s="53"/>
      <c r="N133" s="53"/>
      <c r="O133" s="53"/>
      <c r="P133" s="53"/>
      <c r="Q133" s="53"/>
      <c r="R133" s="53"/>
      <c r="S133" s="54">
        <f>S104-S131</f>
        <v>5443102.8067686856</v>
      </c>
      <c r="U133" s="52" t="s">
        <v>28</v>
      </c>
      <c r="V133" s="53"/>
      <c r="W133" s="53"/>
      <c r="X133" s="53"/>
      <c r="Y133" s="53"/>
      <c r="Z133" s="53"/>
      <c r="AA133" s="53"/>
      <c r="AB133" s="53"/>
      <c r="AC133" s="54">
        <f>AC104-AC131</f>
        <v>2461011.2017479837</v>
      </c>
      <c r="AE133" s="52" t="s">
        <v>28</v>
      </c>
      <c r="AF133" s="53"/>
      <c r="AG133" s="53"/>
      <c r="AH133" s="53"/>
      <c r="AI133" s="53"/>
      <c r="AJ133" s="53"/>
      <c r="AK133" s="53"/>
      <c r="AL133" s="53"/>
      <c r="AM133" s="54">
        <f>AM104-AM131</f>
        <v>4876563.4922877252</v>
      </c>
    </row>
    <row r="134" spans="1:39" ht="11.1" customHeight="1">
      <c r="A134" s="52" t="s">
        <v>107</v>
      </c>
      <c r="B134" s="53"/>
      <c r="C134" s="53"/>
      <c r="D134" s="53"/>
      <c r="E134" s="53"/>
      <c r="F134" s="53"/>
      <c r="G134" s="53"/>
      <c r="H134" s="53"/>
      <c r="I134" s="54">
        <f>I133/D80</f>
        <v>102.9461512974469</v>
      </c>
      <c r="K134" s="52" t="s">
        <v>107</v>
      </c>
      <c r="L134" s="53"/>
      <c r="M134" s="53"/>
      <c r="N134" s="53"/>
      <c r="O134" s="53"/>
      <c r="P134" s="53"/>
      <c r="Q134" s="53"/>
      <c r="R134" s="53"/>
      <c r="S134" s="54">
        <f>S133/N80</f>
        <v>68.760773203242621</v>
      </c>
      <c r="U134" s="52" t="s">
        <v>107</v>
      </c>
      <c r="V134" s="53"/>
      <c r="W134" s="53"/>
      <c r="X134" s="53"/>
      <c r="Y134" s="53"/>
      <c r="Z134" s="53"/>
      <c r="AA134" s="53"/>
      <c r="AB134" s="53"/>
      <c r="AC134" s="54">
        <f>AC133/X80</f>
        <v>35.53037178586564</v>
      </c>
      <c r="AE134" s="52" t="s">
        <v>107</v>
      </c>
      <c r="AF134" s="53"/>
      <c r="AG134" s="53"/>
      <c r="AH134" s="53"/>
      <c r="AI134" s="53"/>
      <c r="AJ134" s="53"/>
      <c r="AK134" s="53"/>
      <c r="AL134" s="53"/>
      <c r="AM134" s="54">
        <f>AM133/AH80</f>
        <v>82.138512586958484</v>
      </c>
    </row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  <row r="268" ht="11.1" customHeight="1"/>
    <row r="269" ht="11.1" customHeight="1"/>
    <row r="270" ht="11.1" customHeight="1"/>
    <row r="271" ht="11.1" customHeight="1"/>
    <row r="272" ht="11.1" customHeight="1"/>
    <row r="273" ht="11.1" customHeight="1"/>
    <row r="274" ht="11.1" customHeight="1"/>
    <row r="275" ht="11.1" customHeight="1"/>
    <row r="276" ht="11.1" customHeight="1"/>
    <row r="277" ht="11.1" customHeight="1"/>
    <row r="278" ht="11.1" customHeight="1"/>
    <row r="279" ht="11.1" customHeight="1"/>
    <row r="280" ht="11.1" customHeight="1"/>
    <row r="281" ht="11.1" customHeight="1"/>
    <row r="282" ht="11.1" customHeight="1"/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  <row r="292" ht="11.1" customHeight="1"/>
    <row r="293" ht="11.1" customHeight="1"/>
    <row r="294" ht="11.1" customHeight="1"/>
    <row r="295" ht="11.1" customHeight="1"/>
    <row r="296" ht="11.1" customHeight="1"/>
    <row r="297" ht="11.1" customHeight="1"/>
    <row r="298" ht="11.1" customHeight="1"/>
    <row r="299" ht="11.1" customHeight="1"/>
    <row r="300" ht="11.1" customHeight="1"/>
    <row r="301" ht="11.1" customHeight="1"/>
    <row r="302" ht="11.1" customHeight="1"/>
    <row r="303" ht="11.1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1.1" customHeight="1"/>
    <row r="361" ht="11.1" customHeight="1"/>
    <row r="362" ht="11.1" customHeight="1"/>
    <row r="363" ht="11.1" customHeight="1"/>
    <row r="364" ht="11.1" customHeight="1"/>
    <row r="365" ht="11.1" customHeight="1"/>
    <row r="366" ht="11.1" customHeight="1"/>
    <row r="367" ht="11.1" customHeight="1"/>
    <row r="368" ht="11.1" customHeight="1"/>
    <row r="369" ht="11.1" customHeight="1"/>
    <row r="370" ht="11.1" customHeight="1"/>
    <row r="371" ht="11.1" customHeight="1"/>
    <row r="372" ht="11.1" customHeight="1"/>
    <row r="373" ht="11.1" customHeight="1"/>
    <row r="374" ht="11.1" customHeight="1"/>
    <row r="375" ht="11.1" customHeight="1"/>
    <row r="376" ht="11.1" customHeight="1"/>
    <row r="377" ht="11.1" customHeight="1"/>
    <row r="378" ht="11.1" customHeight="1"/>
    <row r="379" ht="11.1" customHeight="1"/>
    <row r="380" ht="11.1" customHeight="1"/>
    <row r="381" ht="11.1" customHeight="1"/>
    <row r="382" ht="11.1" customHeight="1"/>
    <row r="383" ht="11.1" customHeight="1"/>
    <row r="384" ht="11.1" customHeight="1"/>
    <row r="385" ht="11.1" customHeight="1"/>
    <row r="386" ht="11.1" customHeight="1"/>
    <row r="387" ht="11.1" customHeight="1"/>
    <row r="388" ht="11.1" customHeight="1"/>
    <row r="389" ht="11.1" customHeight="1"/>
    <row r="390" ht="11.1" customHeight="1"/>
    <row r="391" ht="11.1" customHeight="1"/>
    <row r="392" ht="11.1" customHeight="1"/>
    <row r="393" ht="11.1" customHeight="1"/>
    <row r="394" ht="11.1" customHeight="1"/>
    <row r="395" ht="11.1" customHeight="1"/>
    <row r="396" ht="11.1" customHeight="1"/>
    <row r="397" ht="11.1" customHeight="1"/>
    <row r="398" ht="11.1" customHeight="1"/>
    <row r="399" ht="11.1" customHeight="1"/>
    <row r="400" ht="11.1" customHeight="1"/>
    <row r="401" ht="11.1" customHeight="1"/>
    <row r="402" ht="11.1" customHeight="1"/>
    <row r="403" ht="11.1" customHeight="1"/>
    <row r="404" ht="11.1" customHeight="1"/>
    <row r="405" ht="11.1" customHeight="1"/>
    <row r="406" ht="11.1" customHeight="1"/>
    <row r="407" ht="11.1" customHeight="1"/>
    <row r="408" ht="11.1" customHeight="1"/>
    <row r="409" ht="11.1" customHeight="1"/>
    <row r="410" ht="11.1" customHeight="1"/>
    <row r="411" ht="11.1" customHeight="1"/>
    <row r="412" ht="11.1" customHeight="1"/>
    <row r="413" ht="11.1" customHeight="1"/>
    <row r="414" ht="11.1" customHeight="1"/>
    <row r="415" ht="11.1" customHeight="1"/>
    <row r="416" ht="11.1" customHeight="1"/>
    <row r="417" ht="11.1" customHeight="1"/>
    <row r="418" ht="11.1" customHeight="1"/>
    <row r="419" ht="11.1" customHeight="1"/>
    <row r="420" ht="11.1" customHeight="1"/>
    <row r="421" ht="11.1" customHeight="1"/>
    <row r="422" ht="11.1" customHeight="1"/>
    <row r="423" ht="11.1" customHeight="1"/>
    <row r="424" ht="11.1" customHeight="1"/>
    <row r="425" ht="11.1" customHeight="1"/>
    <row r="426" ht="11.1" customHeight="1"/>
    <row r="427" ht="11.1" customHeight="1"/>
    <row r="428" ht="11.1" customHeight="1"/>
    <row r="429" ht="11.1" customHeight="1"/>
    <row r="430" ht="11.1" customHeight="1"/>
    <row r="431" ht="11.1" customHeight="1"/>
    <row r="432" ht="11.1" customHeight="1"/>
    <row r="433" ht="11.1" customHeight="1"/>
    <row r="434" ht="11.1" customHeight="1"/>
    <row r="435" ht="11.1" customHeight="1"/>
    <row r="436" ht="11.1" customHeight="1"/>
    <row r="437" ht="11.1" customHeight="1"/>
    <row r="438" ht="11.1" customHeight="1"/>
    <row r="439" ht="11.1" customHeight="1"/>
    <row r="440" ht="11.1" customHeight="1"/>
    <row r="441" ht="11.1" customHeight="1"/>
    <row r="442" ht="11.1" customHeight="1"/>
    <row r="443" ht="11.1" customHeight="1"/>
    <row r="444" ht="11.1" customHeight="1"/>
    <row r="445" ht="11.1" customHeight="1"/>
    <row r="446" ht="11.1" customHeight="1"/>
    <row r="447" ht="11.1" customHeight="1"/>
    <row r="448" ht="11.1" customHeight="1"/>
    <row r="449" ht="11.1" customHeight="1"/>
    <row r="450" ht="11.1" customHeight="1"/>
    <row r="451" ht="11.1" customHeight="1"/>
    <row r="452" ht="11.1" customHeight="1"/>
    <row r="453" ht="11.1" customHeight="1"/>
    <row r="454" ht="11.1" customHeight="1"/>
    <row r="455" ht="11.1" customHeight="1"/>
    <row r="456" ht="11.1" customHeight="1"/>
    <row r="457" ht="11.1" customHeight="1"/>
    <row r="458" ht="11.1" customHeight="1"/>
    <row r="459" ht="11.1" customHeight="1"/>
    <row r="460" ht="11.1" customHeight="1"/>
    <row r="461" ht="11.1" customHeight="1"/>
    <row r="462" ht="11.1" customHeight="1"/>
    <row r="463" ht="11.1" customHeight="1"/>
    <row r="464" ht="11.1" customHeight="1"/>
    <row r="465" ht="11.1" customHeight="1"/>
    <row r="466" ht="11.1" customHeight="1"/>
    <row r="467" ht="11.1" customHeight="1"/>
    <row r="468" ht="11.1" customHeight="1"/>
    <row r="469" ht="11.1" customHeight="1"/>
    <row r="470" ht="11.1" customHeight="1"/>
    <row r="471" ht="11.1" customHeight="1"/>
    <row r="472" ht="11.1" customHeight="1"/>
    <row r="473" ht="11.1" customHeight="1"/>
    <row r="474" ht="11.1" customHeight="1"/>
    <row r="475" ht="11.1" customHeight="1"/>
    <row r="476" ht="11.1" customHeight="1"/>
    <row r="477" ht="11.1" customHeight="1"/>
    <row r="478" ht="11.1" customHeight="1"/>
    <row r="479" ht="11.1" customHeight="1"/>
    <row r="480" ht="11.1" customHeight="1"/>
    <row r="481" ht="11.1" customHeight="1"/>
    <row r="482" ht="11.1" customHeight="1"/>
    <row r="483" ht="11.1" customHeight="1"/>
    <row r="484" ht="11.1" customHeight="1"/>
    <row r="485" ht="11.1" customHeight="1"/>
    <row r="486" ht="11.1" customHeight="1"/>
    <row r="487" ht="11.1" customHeight="1"/>
    <row r="488" ht="11.1" customHeight="1"/>
    <row r="489" ht="11.1" customHeight="1"/>
    <row r="490" ht="11.1" customHeight="1"/>
    <row r="491" ht="11.1" customHeight="1"/>
    <row r="492" ht="11.1" customHeight="1"/>
    <row r="493" ht="11.1" customHeight="1"/>
    <row r="494" ht="11.1" customHeight="1"/>
    <row r="495" ht="11.1" customHeight="1"/>
    <row r="496" ht="11.1" customHeight="1"/>
    <row r="497" ht="11.1" customHeight="1"/>
    <row r="498" ht="11.1" customHeight="1"/>
    <row r="499" ht="11.1" customHeight="1"/>
    <row r="500" ht="11.1" customHeight="1"/>
    <row r="501" ht="11.1" customHeight="1"/>
    <row r="502" ht="11.1" customHeight="1"/>
    <row r="503" ht="11.1" customHeight="1"/>
    <row r="504" ht="11.1" customHeight="1"/>
    <row r="505" ht="11.1" customHeight="1"/>
    <row r="506" ht="11.1" customHeight="1"/>
    <row r="507" ht="11.1" customHeight="1"/>
    <row r="508" ht="11.1" customHeight="1"/>
    <row r="509" ht="11.1" customHeight="1"/>
    <row r="510" ht="11.1" customHeight="1"/>
    <row r="511" ht="11.1" customHeight="1"/>
    <row r="512" ht="11.1" customHeight="1"/>
    <row r="513" ht="11.1" customHeight="1"/>
    <row r="514" ht="11.1" customHeight="1"/>
    <row r="515" ht="11.1" customHeight="1"/>
    <row r="516" ht="11.1" customHeight="1"/>
    <row r="517" ht="11.1" customHeight="1"/>
    <row r="518" ht="11.1" customHeight="1"/>
    <row r="519" ht="11.1" customHeight="1"/>
    <row r="520" ht="11.1" customHeight="1"/>
    <row r="521" ht="11.1" customHeight="1"/>
    <row r="522" ht="11.1" customHeight="1"/>
    <row r="523" ht="11.1" customHeight="1"/>
    <row r="524" ht="11.1" customHeight="1"/>
    <row r="525" ht="11.1" customHeight="1"/>
    <row r="526" ht="11.1" customHeight="1"/>
    <row r="527" ht="11.1" customHeight="1"/>
    <row r="528" ht="11.1" customHeight="1"/>
    <row r="529" ht="11.1" customHeight="1"/>
    <row r="530" ht="11.1" customHeight="1"/>
    <row r="531" ht="11.1" customHeight="1"/>
    <row r="532" ht="11.1" customHeight="1"/>
    <row r="533" ht="11.1" customHeight="1"/>
    <row r="534" ht="11.1" customHeight="1"/>
    <row r="535" ht="11.1" customHeight="1"/>
    <row r="536" ht="11.1" customHeight="1"/>
    <row r="537" ht="11.1" customHeight="1"/>
    <row r="538" ht="11.1" customHeight="1"/>
    <row r="539" ht="11.1" customHeight="1"/>
    <row r="540" ht="11.1" customHeight="1"/>
    <row r="541" ht="11.1" customHeight="1"/>
    <row r="542" ht="11.1" customHeight="1"/>
    <row r="543" ht="11.1" customHeight="1"/>
    <row r="544" ht="11.1" customHeight="1"/>
    <row r="545" ht="11.1" customHeight="1"/>
    <row r="546" ht="11.1" customHeight="1"/>
    <row r="547" ht="11.1" customHeight="1"/>
    <row r="548" ht="11.1" customHeight="1"/>
    <row r="549" ht="11.1" customHeight="1"/>
    <row r="550" ht="11.1" customHeight="1"/>
    <row r="551" ht="11.1" customHeight="1"/>
    <row r="552" ht="11.1" customHeight="1"/>
    <row r="553" ht="11.1" customHeight="1"/>
    <row r="554" ht="11.1" customHeight="1"/>
    <row r="555" ht="11.1" customHeight="1"/>
    <row r="556" ht="11.1" customHeight="1"/>
    <row r="557" ht="11.1" customHeight="1"/>
    <row r="558" ht="11.1" customHeight="1"/>
    <row r="559" ht="11.1" customHeight="1"/>
    <row r="560" ht="11.1" customHeight="1"/>
    <row r="561" ht="11.1" customHeight="1"/>
    <row r="562" ht="11.1" customHeight="1"/>
    <row r="563" ht="11.1" customHeight="1"/>
    <row r="564" ht="11.1" customHeight="1"/>
    <row r="565" ht="11.1" customHeight="1"/>
    <row r="566" ht="11.1" customHeight="1"/>
    <row r="567" ht="11.1" customHeight="1"/>
    <row r="568" ht="11.1" customHeight="1"/>
    <row r="569" ht="11.1" customHeight="1"/>
    <row r="570" ht="11.1" customHeight="1"/>
    <row r="571" ht="11.1" customHeight="1"/>
    <row r="572" ht="11.1" customHeight="1"/>
    <row r="573" ht="11.1" customHeight="1"/>
    <row r="574" ht="11.1" customHeight="1"/>
    <row r="575" ht="11.1" customHeight="1"/>
    <row r="576" ht="11.1" customHeight="1"/>
    <row r="577" ht="11.1" customHeight="1"/>
    <row r="578" ht="11.1" customHeight="1"/>
    <row r="579" ht="11.1" customHeight="1"/>
    <row r="580" ht="11.1" customHeight="1"/>
    <row r="581" ht="11.1" customHeight="1"/>
    <row r="582" ht="11.1" customHeight="1"/>
  </sheetData>
  <mergeCells count="8">
    <mergeCell ref="D2:I4"/>
    <mergeCell ref="N2:S4"/>
    <mergeCell ref="X2:AC4"/>
    <mergeCell ref="AH2:AM4"/>
    <mergeCell ref="D70:I72"/>
    <mergeCell ref="N70:S72"/>
    <mergeCell ref="X70:AC72"/>
    <mergeCell ref="AH70:AM72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14337" r:id="rId4">
          <objectPr defaultSize="0" r:id="rId5">
            <anchor moveWithCells="1" sizeWithCells="1">
              <from>
                <xdr:col>0</xdr:col>
                <xdr:colOff>47551</xdr:colOff>
                <xdr:row>0</xdr:row>
                <xdr:rowOff>123825</xdr:rowOff>
              </from>
              <to>
                <xdr:col>2</xdr:col>
                <xdr:colOff>162074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4337" r:id="rId4"/>
      </mc:Fallback>
    </mc:AlternateContent>
    <mc:AlternateContent xmlns:mc="http://schemas.openxmlformats.org/markup-compatibility/2006">
      <mc:Choice Requires="x14">
        <oleObject progId="WordPad.Document.1" shapeId="14338" r:id="rId6">
          <objectPr defaultSize="0" r:id="rId5">
            <anchor moveWithCells="1" sizeWithCells="1">
              <from>
                <xdr:col>10</xdr:col>
                <xdr:colOff>38174</xdr:colOff>
                <xdr:row>0</xdr:row>
                <xdr:rowOff>123825</xdr:rowOff>
              </from>
              <to>
                <xdr:col>12</xdr:col>
                <xdr:colOff>152698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4338" r:id="rId6"/>
      </mc:Fallback>
    </mc:AlternateContent>
    <mc:AlternateContent xmlns:mc="http://schemas.openxmlformats.org/markup-compatibility/2006">
      <mc:Choice Requires="x14">
        <oleObject progId="WordPad.Document.1" shapeId="14339" r:id="rId7">
          <objectPr defaultSize="0" r:id="rId5">
            <anchor moveWithCells="1" sizeWithCells="1">
              <from>
                <xdr:col>20</xdr:col>
                <xdr:colOff>38174</xdr:colOff>
                <xdr:row>0</xdr:row>
                <xdr:rowOff>123825</xdr:rowOff>
              </from>
              <to>
                <xdr:col>22</xdr:col>
                <xdr:colOff>152698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4339" r:id="rId7"/>
      </mc:Fallback>
    </mc:AlternateContent>
    <mc:AlternateContent xmlns:mc="http://schemas.openxmlformats.org/markup-compatibility/2006">
      <mc:Choice Requires="x14">
        <oleObject progId="WordPad.Document.1" shapeId="14340" r:id="rId8">
          <objectPr defaultSize="0" r:id="rId5">
            <anchor moveWithCells="1" sizeWithCells="1">
              <from>
                <xdr:col>30</xdr:col>
                <xdr:colOff>38174</xdr:colOff>
                <xdr:row>0</xdr:row>
                <xdr:rowOff>123825</xdr:rowOff>
              </from>
              <to>
                <xdr:col>32</xdr:col>
                <xdr:colOff>152698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4340" r:id="rId8"/>
      </mc:Fallback>
    </mc:AlternateContent>
    <mc:AlternateContent xmlns:mc="http://schemas.openxmlformats.org/markup-compatibility/2006">
      <mc:Choice Requires="x14">
        <oleObject progId="WordPad.Document.1" shapeId="14342" r:id="rId9">
          <objectPr defaultSize="0" r:id="rId5">
            <anchor moveWithCells="1" sizeWithCells="1">
              <from>
                <xdr:col>0</xdr:col>
                <xdr:colOff>47551</xdr:colOff>
                <xdr:row>68</xdr:row>
                <xdr:rowOff>123825</xdr:rowOff>
              </from>
              <to>
                <xdr:col>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14342" r:id="rId9"/>
      </mc:Fallback>
    </mc:AlternateContent>
    <mc:AlternateContent xmlns:mc="http://schemas.openxmlformats.org/markup-compatibility/2006">
      <mc:Choice Requires="x14">
        <oleObject progId="WordPad.Document.1" shapeId="14343" r:id="rId10">
          <objectPr defaultSize="0" r:id="rId5">
            <anchor moveWithCells="1" sizeWithCells="1">
              <from>
                <xdr:col>10</xdr:col>
                <xdr:colOff>47551</xdr:colOff>
                <xdr:row>68</xdr:row>
                <xdr:rowOff>123825</xdr:rowOff>
              </from>
              <to>
                <xdr:col>12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14343" r:id="rId10"/>
      </mc:Fallback>
    </mc:AlternateContent>
    <mc:AlternateContent xmlns:mc="http://schemas.openxmlformats.org/markup-compatibility/2006">
      <mc:Choice Requires="x14">
        <oleObject progId="WordPad.Document.1" shapeId="14344" r:id="rId11">
          <objectPr defaultSize="0" r:id="rId5">
            <anchor moveWithCells="1" sizeWithCells="1">
              <from>
                <xdr:col>20</xdr:col>
                <xdr:colOff>47551</xdr:colOff>
                <xdr:row>68</xdr:row>
                <xdr:rowOff>123825</xdr:rowOff>
              </from>
              <to>
                <xdr:col>22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14344" r:id="rId11"/>
      </mc:Fallback>
    </mc:AlternateContent>
    <mc:AlternateContent xmlns:mc="http://schemas.openxmlformats.org/markup-compatibility/2006">
      <mc:Choice Requires="x14">
        <oleObject progId="WordPad.Document.1" shapeId="14345" r:id="rId12">
          <objectPr defaultSize="0" r:id="rId5">
            <anchor moveWithCells="1" sizeWithCells="1">
              <from>
                <xdr:col>30</xdr:col>
                <xdr:colOff>47551</xdr:colOff>
                <xdr:row>68</xdr:row>
                <xdr:rowOff>123825</xdr:rowOff>
              </from>
              <to>
                <xdr:col>32</xdr:col>
                <xdr:colOff>162074</xdr:colOff>
                <xdr:row>72</xdr:row>
                <xdr:rowOff>104775</xdr:rowOff>
              </to>
            </anchor>
          </objectPr>
        </oleObject>
      </mc:Choice>
      <mc:Fallback>
        <oleObject progId="WordPad.Document.1" shapeId="14345" r:id="rId12"/>
      </mc:Fallback>
    </mc:AlternateContent>
  </oleObjects>
  <extLst/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Adrian</dc:creator>
  <cp:keywords/>
  <cp:lastModifiedBy>Megan Pinnell</cp:lastModifiedBy>
  <dcterms:created xsi:type="dcterms:W3CDTF">2012-03-25T11:35:02Z</dcterms:created>
  <dcterms:modified xsi:type="dcterms:W3CDTF">2016-01-18T16:00:10Z</dcterms:modified>
  <dc:subject/>
  <cp:lastPrinted>2013-05-15T15:57:49Z</cp:lastPrinted>
  <dc:title>Newport CIL_Residential Viability Appraisal Oct 15 Additional Scale Tests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